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mc:AlternateContent xmlns:mc="http://schemas.openxmlformats.org/markup-compatibility/2006">
    <mc:Choice Requires="x15">
      <x15ac:absPath xmlns:x15ac="http://schemas.microsoft.com/office/spreadsheetml/2010/11/ac" url="G:\29++\Fortschreibung29++\Zieldefinition\Tool-Veröffentlichung\Downloads\"/>
    </mc:Choice>
  </mc:AlternateContent>
  <bookViews>
    <workbookView xWindow="-120" yWindow="-120" windowWidth="24240" windowHeight="13140" tabRatio="939" activeTab="2"/>
  </bookViews>
  <sheets>
    <sheet name="ÜBERSICHT" sheetId="7" r:id="rId1"/>
    <sheet name="Ausbauziel_Strom" sheetId="1" r:id="rId2"/>
    <sheet name="Ausbauziel_Wärme" sheetId="4" r:id="rId3"/>
    <sheet name="THG_Emissionen" sheetId="8" r:id="rId4"/>
    <sheet name="Basis-Annahmen" sheetId="5" r:id="rId5"/>
    <sheet name="Nachfrage &amp; Erzeugung" sheetId="6" r:id="rId6"/>
    <sheet name="Potenzial" sheetId="3" r:id="rId7"/>
  </sheets>
  <definedNames>
    <definedName name="_xlnm.Print_Area" localSheetId="2">Ausbauziel_Wärme!$A$1:$L$72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H77" i="4"/>
  <c r="D77" i="4"/>
  <c r="H75" i="1"/>
  <c r="D75" i="1"/>
  <c r="D39" i="6"/>
  <c r="D12" i="6"/>
  <c r="D38" i="6" l="1"/>
  <c r="D13" i="6"/>
  <c r="D11" i="6"/>
  <c r="E11" i="6" s="1"/>
  <c r="F69" i="6"/>
  <c r="D69" i="6"/>
  <c r="F62" i="6"/>
  <c r="F63" i="6"/>
  <c r="F64" i="6"/>
  <c r="F65" i="6"/>
  <c r="F66" i="6"/>
  <c r="F67" i="6"/>
  <c r="F56" i="6"/>
  <c r="F57" i="6"/>
  <c r="F58" i="6"/>
  <c r="F59" i="6"/>
  <c r="F60" i="6"/>
  <c r="F61" i="6"/>
  <c r="F68" i="6"/>
  <c r="H37" i="4"/>
  <c r="B23" i="8"/>
  <c r="B29" i="8" l="1"/>
  <c r="B15" i="8"/>
  <c r="C5" i="8"/>
  <c r="B7" i="8"/>
  <c r="H5" i="8"/>
  <c r="C69" i="6"/>
  <c r="C47" i="6"/>
  <c r="E69" i="6"/>
  <c r="F53" i="6"/>
  <c r="F54" i="6"/>
  <c r="F55" i="6"/>
  <c r="F52" i="6"/>
  <c r="D9" i="3"/>
  <c r="D18" i="3"/>
  <c r="D14" i="3" s="1"/>
  <c r="E15" i="5"/>
  <c r="B38" i="4"/>
  <c r="D82" i="4" l="1"/>
  <c r="I14" i="4" s="1"/>
  <c r="D79" i="4"/>
  <c r="D80" i="4"/>
  <c r="D78" i="4"/>
  <c r="C79" i="4"/>
  <c r="C80" i="4"/>
  <c r="C78" i="4"/>
  <c r="E77" i="4"/>
  <c r="I77" i="4"/>
  <c r="I75" i="1"/>
  <c r="B33" i="1"/>
  <c r="B28" i="4"/>
  <c r="D13" i="4"/>
  <c r="D15" i="4"/>
  <c r="C29" i="6"/>
  <c r="D82" i="1" l="1"/>
  <c r="D16" i="1"/>
  <c r="D13" i="1"/>
  <c r="D15" i="1"/>
  <c r="B25" i="1"/>
  <c r="E75" i="1"/>
  <c r="D77" i="1"/>
  <c r="D78" i="1"/>
  <c r="D76" i="1"/>
  <c r="C77" i="1"/>
  <c r="C78" i="1"/>
  <c r="C79" i="1"/>
  <c r="C76" i="1"/>
  <c r="F27" i="1"/>
  <c r="F32" i="4"/>
  <c r="G40" i="4" l="1"/>
  <c r="G41" i="4" s="1"/>
  <c r="I79" i="1"/>
  <c r="I36" i="5"/>
  <c r="G78" i="1" l="1"/>
  <c r="G80" i="4"/>
  <c r="H78" i="1"/>
  <c r="H82" i="4"/>
  <c r="H79" i="4"/>
  <c r="H80" i="4" l="1"/>
  <c r="E39" i="6"/>
  <c r="F39" i="6" l="1"/>
  <c r="G39" i="6" s="1"/>
  <c r="E79" i="4"/>
  <c r="E38" i="6"/>
  <c r="F38" i="6" s="1"/>
  <c r="H77" i="1"/>
  <c r="I77" i="1" l="1"/>
  <c r="G38" i="6"/>
  <c r="E78" i="4" s="1"/>
  <c r="E13" i="6"/>
  <c r="E12" i="6"/>
  <c r="E14" i="5"/>
  <c r="F44" i="5"/>
  <c r="G36" i="5"/>
  <c r="H36" i="5"/>
  <c r="F36" i="5"/>
  <c r="D40" i="6" s="1"/>
  <c r="G44" i="5" l="1"/>
  <c r="F45" i="5"/>
  <c r="F46" i="5" s="1"/>
  <c r="F11" i="6"/>
  <c r="F12" i="6"/>
  <c r="F13" i="6"/>
  <c r="E40" i="6"/>
  <c r="D37" i="6"/>
  <c r="H44" i="5" l="1"/>
  <c r="G45" i="5"/>
  <c r="G46" i="5" s="1"/>
  <c r="F47" i="5"/>
  <c r="D14" i="6" s="1"/>
  <c r="F40" i="6"/>
  <c r="F37" i="6" s="1"/>
  <c r="G12" i="6"/>
  <c r="E77" i="1"/>
  <c r="G13" i="6"/>
  <c r="E78" i="1" s="1"/>
  <c r="G11" i="6"/>
  <c r="E76" i="1" s="1"/>
  <c r="D42" i="6"/>
  <c r="E37" i="6"/>
  <c r="G47" i="5" l="1"/>
  <c r="E14" i="6" s="1"/>
  <c r="I44" i="5"/>
  <c r="I45" i="5" s="1"/>
  <c r="H45" i="5"/>
  <c r="H27" i="8" s="1"/>
  <c r="G40" i="6"/>
  <c r="E42" i="6"/>
  <c r="F42" i="6"/>
  <c r="D30" i="3"/>
  <c r="F30" i="1" s="1"/>
  <c r="H47" i="5" l="1"/>
  <c r="H46" i="5"/>
  <c r="F14" i="6" s="1"/>
  <c r="I47" i="5"/>
  <c r="I46" i="5"/>
  <c r="G37" i="6"/>
  <c r="I82" i="4" s="1"/>
  <c r="E80" i="4"/>
  <c r="G14" i="6" l="1"/>
  <c r="E79" i="1" s="1"/>
  <c r="G42" i="6"/>
  <c r="E82" i="4"/>
  <c r="H27" i="1"/>
  <c r="J27" i="1" s="1"/>
  <c r="H28" i="1"/>
  <c r="I40" i="4" l="1"/>
  <c r="I79" i="4" s="1"/>
  <c r="I80" i="4" s="1"/>
  <c r="J30" i="4"/>
  <c r="J31" i="4" s="1"/>
  <c r="E84" i="4"/>
  <c r="I15" i="4" s="1"/>
  <c r="J32" i="4"/>
  <c r="I41" i="4"/>
  <c r="H16" i="8" s="1"/>
  <c r="H20" i="8" s="1"/>
  <c r="I13" i="4"/>
  <c r="D25" i="3"/>
  <c r="D21" i="3" s="1"/>
  <c r="H29" i="1" s="1"/>
  <c r="H32" i="1" s="1"/>
  <c r="J36" i="4" l="1"/>
  <c r="J37" i="4"/>
  <c r="H21" i="8"/>
  <c r="D57" i="8"/>
  <c r="J33" i="4"/>
  <c r="J35" i="4"/>
  <c r="J34" i="4"/>
  <c r="F29" i="1"/>
  <c r="J29" i="1" s="1"/>
  <c r="D15" i="6" l="1"/>
  <c r="E80" i="1" s="1"/>
  <c r="G10" i="6" l="1"/>
  <c r="G17" i="6" s="1"/>
  <c r="D10" i="6"/>
  <c r="D16" i="6" s="1"/>
  <c r="E10" i="6"/>
  <c r="E16" i="6" s="1"/>
  <c r="F10" i="6"/>
  <c r="F28" i="1"/>
  <c r="I81" i="1"/>
  <c r="I82" i="1"/>
  <c r="F32" i="1" l="1"/>
  <c r="J32" i="1" s="1"/>
  <c r="J28" i="1"/>
  <c r="F17" i="6"/>
  <c r="E82" i="1"/>
  <c r="E83" i="1" s="1"/>
  <c r="I14" i="1" s="1"/>
  <c r="E17" i="6"/>
  <c r="G16" i="6"/>
  <c r="F16" i="6"/>
  <c r="D17" i="6"/>
  <c r="I80" i="1"/>
  <c r="I13" i="1" l="1"/>
  <c r="E84" i="1"/>
  <c r="I15" i="1" s="1"/>
  <c r="E85" i="1"/>
  <c r="I16" i="1" s="1"/>
  <c r="I78" i="1"/>
  <c r="H8" i="8" l="1"/>
  <c r="H12" i="8" s="1"/>
  <c r="H13" i="8" l="1"/>
  <c r="D56" i="8"/>
  <c r="H26" i="8" l="1"/>
  <c r="H31" i="8" s="1"/>
  <c r="H32" i="8"/>
  <c r="D58" i="8" l="1"/>
</calcChain>
</file>

<file path=xl/comments1.xml><?xml version="1.0" encoding="utf-8"?>
<comments xmlns="http://schemas.openxmlformats.org/spreadsheetml/2006/main">
  <authors>
    <author>wolfgang.mayer</author>
  </authors>
  <commentList>
    <comment ref="D27" authorId="0" shapeId="0">
      <text>
        <r>
          <rPr>
            <b/>
            <sz val="9"/>
            <color indexed="81"/>
            <rFont val="Segoe UI"/>
            <family val="2"/>
          </rPr>
          <t>Angenommener Jahresertrag:
9000 MWh / a pro Anlage</t>
        </r>
      </text>
    </comment>
    <comment ref="D28" authorId="0" shapeId="0">
      <text>
        <r>
          <rPr>
            <b/>
            <sz val="9"/>
            <color indexed="81"/>
            <rFont val="Segoe UI"/>
            <family val="2"/>
          </rPr>
          <t>Angenommener Jahresertrag:
0,150 MWh / a pro m²</t>
        </r>
      </text>
    </comment>
    <comment ref="D29" authorId="0" shapeId="0">
      <text>
        <r>
          <rPr>
            <b/>
            <sz val="9"/>
            <color indexed="81"/>
            <rFont val="Segoe UI"/>
            <family val="2"/>
          </rPr>
          <t>Angenommener Jahresertrag:
720 MWh  / a pro ha</t>
        </r>
      </text>
    </comment>
    <comment ref="D30" authorId="0" shapeId="0">
      <text>
        <r>
          <rPr>
            <b/>
            <sz val="9"/>
            <color indexed="81"/>
            <rFont val="Segoe UI"/>
            <family val="2"/>
          </rPr>
          <t>Angenommener Jahresertrag:
270 MWh / a pro ha</t>
        </r>
        <r>
          <rPr>
            <sz val="9"/>
            <color indexed="81"/>
            <rFont val="Segoe UI"/>
            <family val="2"/>
          </rPr>
          <t xml:space="preserve">
</t>
        </r>
      </text>
    </comment>
  </commentList>
</comments>
</file>

<file path=xl/comments2.xml><?xml version="1.0" encoding="utf-8"?>
<comments xmlns="http://schemas.openxmlformats.org/spreadsheetml/2006/main">
  <authors>
    <author>wolfgang.mayer</author>
  </authors>
  <commentList>
    <comment ref="H33" authorId="0" shapeId="0">
      <text>
        <r>
          <rPr>
            <sz val="9"/>
            <color indexed="81"/>
            <rFont val="Segoe UI"/>
            <family val="2"/>
          </rPr>
          <t>Achtung Tabellenblatt "Ausbauziel_Strom"! Erhöhte Stromnachfrage durch Power to Heat!</t>
        </r>
      </text>
    </comment>
    <comment ref="H34" authorId="0" shapeId="0">
      <text>
        <r>
          <rPr>
            <sz val="9"/>
            <color indexed="81"/>
            <rFont val="Segoe UI"/>
            <family val="2"/>
          </rPr>
          <t xml:space="preserve">Achtung Tabellenblatt "Ausbauziel_Strom"! Erhöhte Stromnachfrage durch Power to Heat!
</t>
        </r>
      </text>
    </comment>
  </commentList>
</comments>
</file>

<file path=xl/sharedStrings.xml><?xml version="1.0" encoding="utf-8"?>
<sst xmlns="http://schemas.openxmlformats.org/spreadsheetml/2006/main" count="283" uniqueCount="198">
  <si>
    <t>Windkraft</t>
  </si>
  <si>
    <t>Bevölkerungsentwicklung</t>
  </si>
  <si>
    <t>Anzahl KFZ elektrisch</t>
  </si>
  <si>
    <t>Anzahl KFZ hybrid</t>
  </si>
  <si>
    <t>Anzahl KFZ gesamt</t>
  </si>
  <si>
    <t>Anteil Fahrzeuge elektrisch am Gesamtbestand in %</t>
  </si>
  <si>
    <t>Private Haushalte</t>
  </si>
  <si>
    <t>Kommunale Einrichtungen</t>
  </si>
  <si>
    <t>Mobilität</t>
  </si>
  <si>
    <t xml:space="preserve">mittlerer Jahresstromverbrauch je Hybridfahrzeug in MWh/a </t>
  </si>
  <si>
    <t>ha</t>
  </si>
  <si>
    <t>Anlagen</t>
  </si>
  <si>
    <t>Jahresertrag je Anlage</t>
  </si>
  <si>
    <t>MWh</t>
  </si>
  <si>
    <t>Wasserkraft</t>
  </si>
  <si>
    <t>Photovoltaik</t>
  </si>
  <si>
    <t>Tiefe Geothermie (Strom)</t>
  </si>
  <si>
    <t>Biomasse</t>
  </si>
  <si>
    <t>Anzahl</t>
  </si>
  <si>
    <t>Gesamtpotenzial</t>
  </si>
  <si>
    <t>benötigte Modulfläche für 1 kWp nominelle Leistung</t>
  </si>
  <si>
    <t>Biogas</t>
  </si>
  <si>
    <t>Erneuerbare Stromerzeugung</t>
  </si>
  <si>
    <t>Zubau PV-Dachfläche</t>
  </si>
  <si>
    <t>Zubau Agri-PV</t>
  </si>
  <si>
    <t>Stromnachfrage</t>
  </si>
  <si>
    <t>Potenzialdaten</t>
  </si>
  <si>
    <t>Zubau Windenergie</t>
  </si>
  <si>
    <t>Zubau PV-Freifläche (EEG)</t>
  </si>
  <si>
    <t>Erzeuger</t>
  </si>
  <si>
    <t>m²</t>
  </si>
  <si>
    <t>Szenario erneuerbare Strombereitstellung</t>
  </si>
  <si>
    <t>Gesamt:</t>
  </si>
  <si>
    <t>Ansprechpartner</t>
  </si>
  <si>
    <t>Bearbeitung</t>
  </si>
  <si>
    <t>ENIANO GmbH</t>
  </si>
  <si>
    <t>Schwanthalerstr. 73</t>
  </si>
  <si>
    <t>80336 München</t>
  </si>
  <si>
    <t>info@eniano.com</t>
  </si>
  <si>
    <t>HINTERGRUNDINFORMATIONEN</t>
  </si>
  <si>
    <t>Methodik</t>
  </si>
  <si>
    <t>Durch das Setzen konkreter Ziele und die Selbstverpflichtung zu deren Umsetzung lassen sich die Konsequenzen des Klimawandels mildern und die regionale Wertschöpfung stärken.</t>
  </si>
  <si>
    <t>POTENZIALE</t>
  </si>
  <si>
    <t>Weitere wichtige Schritte umfassen Maßnahmen zur Energieeinsparung, Bspw. die Sanierung des Gebäudebestands, sowie zur Steigerung der Energieeffizienz in allen Bereichen.</t>
  </si>
  <si>
    <t xml:space="preserve">Um den durch E-Mobilität, Wärmepumpen und andere Entwicklungen steigenden Strombedarf zu decken und die Ziele aus der Klimaschutzerklärung zu erreichen sollte dieser Strom künftig bilanziell erneuerbar erzeugt werden. </t>
  </si>
  <si>
    <t>ZIELSETZUNG</t>
  </si>
  <si>
    <t>Entscheidungen, die Art und Umfang der zukünftigen Nutzung vorhandener Potenziale betreffen, obliegen der Gemeinde. Nachstehender Szenarien-Generator ermöglicht ein Experimentieren mit verschiedenen Ausbauzielen und dient als Hilfestellung zur Abschätzung der benötigten Handlungsschritte auf dem Weg zu einer erneuerbaren Stromversorgung.</t>
  </si>
  <si>
    <t>Szenario erneuerbare Wärmebereitstellung</t>
  </si>
  <si>
    <t>Wirtschaftswachstum</t>
  </si>
  <si>
    <t>Mittlere Wachstumsrate der Bruttowertschöpfung p.a. in %</t>
  </si>
  <si>
    <t>Anteil Fahrzeuge hybrid am Gesamtbestand in %
Wert für den gesamten Landkreis</t>
  </si>
  <si>
    <t>jährliche Wärmeeinsparung in %</t>
  </si>
  <si>
    <t>Spezifischer Energiebedarf in KWh/m^2 a</t>
  </si>
  <si>
    <t>spezifischer Energiebedarf Neubau</t>
  </si>
  <si>
    <t>spezifischer Energiebedarf nach Sanierung</t>
  </si>
  <si>
    <t>spezifischer Energiebedarf unsanierte Gebäude 2018</t>
  </si>
  <si>
    <t>Erneuerbare Wärmeerzeugung</t>
  </si>
  <si>
    <t>mittlerer Jahresstromverbrauch je PEV in MWh/a</t>
  </si>
  <si>
    <t>Stromverbrauch Elektromobilität</t>
  </si>
  <si>
    <t>Bevölkerungszahlen absolut</t>
  </si>
  <si>
    <t>Bevölkerungszunahme in Prozent</t>
  </si>
  <si>
    <t>2020 bis 2025</t>
  </si>
  <si>
    <t>2025 bis 2030</t>
  </si>
  <si>
    <t>2030 bis 2035</t>
  </si>
  <si>
    <t>Fahrzeugbestand</t>
  </si>
  <si>
    <t>Strombedarf Wärme</t>
  </si>
  <si>
    <t>Stromnachfrage in MWh/a</t>
  </si>
  <si>
    <t>Wärmenachfrage in MWh/a</t>
  </si>
  <si>
    <t>Gesamt</t>
  </si>
  <si>
    <t>Effizienzgewinn Strom</t>
  </si>
  <si>
    <t>jährliche Einsparung Privathaushalte in %</t>
  </si>
  <si>
    <t>jährliche Einsparung Gewerbe und Kommune in %</t>
  </si>
  <si>
    <t>Wärme</t>
  </si>
  <si>
    <t>Stromerzeugung in MWh/a</t>
  </si>
  <si>
    <t>Strom</t>
  </si>
  <si>
    <t>Wärmeerzeugung in MWh/a</t>
  </si>
  <si>
    <t>Nicht erneuerbare Wärmeerzeugung</t>
  </si>
  <si>
    <t>Fernwärme (zentral)</t>
  </si>
  <si>
    <t>dezentrale Wärmebereitstellung</t>
  </si>
  <si>
    <t>Anteil an der gesamten Wärmeerzeugung in %</t>
  </si>
  <si>
    <t>Anteil in %</t>
  </si>
  <si>
    <t>Prozentualer Anteil</t>
  </si>
  <si>
    <t>Art der Wärmeerzeugung</t>
  </si>
  <si>
    <t>Wärmenachfrage</t>
  </si>
  <si>
    <t>Entscheidungen, die Art und Umfang der zukünftigen Nutzung vorhandener Potenziale betreffen, obliegen der Gemeinde. Nachstehender Szenarien-Generator ermöglicht ein Experimentieren mit verschiedenen Ausbauzielen und dient als Hilfestellung zur Abschätzung der benötigten Handlungsschritte auf dem Weg zu einer erneuerbaren Heizwärmeversorgung.</t>
  </si>
  <si>
    <t>Jahreswärmeertrag in MWh/a</t>
  </si>
  <si>
    <t>Einheit</t>
  </si>
  <si>
    <t>Genutztes Potenzial in %</t>
  </si>
  <si>
    <t>Jahresstromertrag 
in MWh/a</t>
  </si>
  <si>
    <t>Gesamtpotenzial 
in MWh/a</t>
  </si>
  <si>
    <t>Tabellenblatt</t>
  </si>
  <si>
    <t>Ausbauziel_Strom</t>
  </si>
  <si>
    <t>Ausbauziel_Wärme</t>
  </si>
  <si>
    <t>Nachfrage &amp; Erzeugung</t>
  </si>
  <si>
    <t>Potenzial</t>
  </si>
  <si>
    <t>Basis-Annahmen</t>
  </si>
  <si>
    <t>2035 bis 2040</t>
  </si>
  <si>
    <t>Anteil der Mobilität an der Gesamtstromnachfrage</t>
  </si>
  <si>
    <t>Zieljahr</t>
  </si>
  <si>
    <t>Zielszenario</t>
  </si>
  <si>
    <t>Zunahme Stromnachfrage</t>
  </si>
  <si>
    <t>Anteil E-Mobilität</t>
  </si>
  <si>
    <t>Anteil Wärme</t>
  </si>
  <si>
    <t>Erneuerbare allgemein</t>
  </si>
  <si>
    <t>GHD / Industrie</t>
  </si>
  <si>
    <t>Effizienzgewinn Wärme (GHD / Industrie und Kommune)</t>
  </si>
  <si>
    <t>Steigerung Wärmenachfrage</t>
  </si>
  <si>
    <r>
      <t xml:space="preserve">Möglichkeiten zur erneuerbaren Deckung der Stromnachfrage sind vornehmlich </t>
    </r>
    <r>
      <rPr>
        <b/>
        <sz val="10"/>
        <color rgb="FF71BAE8"/>
        <rFont val="Arial"/>
        <family val="2"/>
      </rPr>
      <t>Photovoltaik, Windkraft</t>
    </r>
    <r>
      <rPr>
        <sz val="10"/>
        <color theme="1"/>
        <rFont val="Arial"/>
        <family val="2"/>
      </rPr>
      <t>, Wasserkraft sowie Biomasse, wobei die Potenziale für Biomasse und Wasserkraft bereits heute als ausgeschöpft angesehen werden.</t>
    </r>
  </si>
  <si>
    <t>Power 2 Heat</t>
  </si>
  <si>
    <t>Basisannahmen</t>
  </si>
  <si>
    <t>KFZ je Einwohner</t>
  </si>
  <si>
    <t>Wohnfläche je Einwohner in m^2</t>
  </si>
  <si>
    <t>Energienachfrage und Energieerzeugung</t>
  </si>
  <si>
    <t>Nicht aus lokalen EE gedeckter Strombedarf</t>
  </si>
  <si>
    <t>Photovoltaik auf Dachflächen</t>
  </si>
  <si>
    <t>Photovoltaik auf Freiflächen (EEG-Gebietskulisse)</t>
  </si>
  <si>
    <t>Installierbare Leistung je ha</t>
  </si>
  <si>
    <t>Agri-PV (Photovoltaik in Kombination mit Landwirtschaftlicher Nutzung)</t>
  </si>
  <si>
    <t>kWp / ha</t>
  </si>
  <si>
    <t>kWh / kWp</t>
  </si>
  <si>
    <t>MWh / ha</t>
  </si>
  <si>
    <t>Nutzfläche pro Einwohner</t>
  </si>
  <si>
    <t>m² / kWp</t>
  </si>
  <si>
    <t>MWh / m²</t>
  </si>
  <si>
    <r>
      <t xml:space="preserve">m²
</t>
    </r>
    <r>
      <rPr>
        <sz val="6"/>
        <color theme="0" tint="-0.499984740745262"/>
        <rFont val="Arial"/>
        <family val="2"/>
      </rPr>
      <t>Modulfläche</t>
    </r>
  </si>
  <si>
    <t>PV Dachfläche</t>
  </si>
  <si>
    <t>PV Freifläche 
(EEG)</t>
  </si>
  <si>
    <r>
      <t xml:space="preserve">PV Freifläche </t>
    </r>
    <r>
      <rPr>
        <i/>
        <sz val="10"/>
        <color theme="1"/>
        <rFont val="Arial"/>
        <family val="2"/>
      </rPr>
      <t xml:space="preserve">
</t>
    </r>
    <r>
      <rPr>
        <sz val="10"/>
        <color theme="1"/>
        <rFont val="Arial"/>
        <family val="2"/>
      </rPr>
      <t>(Agri-PV)</t>
    </r>
  </si>
  <si>
    <t>sonstige
Erneuerbare</t>
  </si>
  <si>
    <t>Mögliche Anzahl Anlagen</t>
  </si>
  <si>
    <t>-</t>
  </si>
  <si>
    <t>Angaben zu Potenzialen der erneuerbaren Stromerzeugung</t>
  </si>
  <si>
    <t>Berechnung der künftigen Energienachfrage (Strom und Wärme) im Zieljahr</t>
  </si>
  <si>
    <t>Beschreibung</t>
  </si>
  <si>
    <t>Druckbares Tabellenblatt: Zieldefinition für den Ausbau erneuerbarer Wärmeerzeugung im Zieljahr</t>
  </si>
  <si>
    <t>Basisannahmen zur Entwicklung der Energienachfrage (Strom und Wärme)</t>
  </si>
  <si>
    <t>Druckbares Tabellenblatt: Zieldefinition für den Ausbau erneuerbarer Stromerzeugung im Zieljahr</t>
  </si>
  <si>
    <t>Ortsteil</t>
  </si>
  <si>
    <t>Wärmenachfrage - Anteilig Ortsteile (Hilfestellung Ausbauziel Wärme)</t>
  </si>
  <si>
    <t>Anteil dezentral in Ortsteil</t>
  </si>
  <si>
    <t>Anteile an gesamter Wärmenachfrage in Gemeinde</t>
  </si>
  <si>
    <t>Nachfrage</t>
  </si>
  <si>
    <t>Inhalt</t>
  </si>
  <si>
    <t>Anteil an gesamter Wärmenachfrage</t>
  </si>
  <si>
    <t>Anteil an
Fernwärme
in Ortsteil</t>
  </si>
  <si>
    <t>(davon) Anteil erneuerbare Fernwärme in Ortsteil</t>
  </si>
  <si>
    <t>COP Fernwärme</t>
  </si>
  <si>
    <t>Berechnungshilfe</t>
  </si>
  <si>
    <t>spezifischer Jahresertrag pro ha</t>
  </si>
  <si>
    <t>spezifischer Jahresertrag pro kWp</t>
  </si>
  <si>
    <t>verfügbare Freifläche</t>
  </si>
  <si>
    <t>potenziell verfügbare Modulfläche auf Dächern</t>
  </si>
  <si>
    <t>durchschnittlicher Jahresertrag pro m² Modulfläche</t>
  </si>
  <si>
    <t>zu erwartender Jahresertrag pro 1 kWp installierter Leistung</t>
  </si>
  <si>
    <t>Anteil oberflächennahe Geothermie</t>
  </si>
  <si>
    <t>Anteil Luft-Wärmepumpe</t>
  </si>
  <si>
    <t xml:space="preserve">erneuerbarer Anteil </t>
  </si>
  <si>
    <t>Anteil Biomasse</t>
  </si>
  <si>
    <t>Anteil ergänzende erneuerbare Systeme</t>
  </si>
  <si>
    <t>Treibhausgasemissionen</t>
  </si>
  <si>
    <t>nicht-erneuerbare Wärmeerzeugung</t>
  </si>
  <si>
    <t>THG-Emissionen nicht-erneuerbare Wärme</t>
  </si>
  <si>
    <t>Netto-Strombezug</t>
  </si>
  <si>
    <t>THG-Emissionen des deutschen Strommix</t>
  </si>
  <si>
    <t>Pro-Kopf THG-Emissionen</t>
  </si>
  <si>
    <t>THG-Emissionen gesamt</t>
  </si>
  <si>
    <t>Druckbares Tabellenblatt: Resultierende Treibhausgasemissionen im Zieljahr</t>
  </si>
  <si>
    <t>THG_Emissionen</t>
  </si>
  <si>
    <t>COP Wärmepumpe / Oberflächennahe Geothermie</t>
  </si>
  <si>
    <t>COP Luft-Wasser-Wärmepumpe</t>
  </si>
  <si>
    <t>Verkehr</t>
  </si>
  <si>
    <t>jährliche Veränderung der Zahl der Fahrzeuge pro EW in %</t>
  </si>
  <si>
    <t>2018</t>
  </si>
  <si>
    <t>Basiswert: Verkehrliche THG-Emissionen 
im Jahr 2018 (geringe Elektrifizierung)</t>
  </si>
  <si>
    <t>Anteil verbliebener fossiler Systeme (Erdgas, Heizöl, etc.)</t>
  </si>
  <si>
    <t>Falls weniger Anlagen einer Art installiert werden, müssen mehr Anlagen der anderen Art installiert werden, damit das Ziel der Treibhausgasneutralität im Landkreis München im Zusammenhang mit der Nutzung von Strom erreichbar bleibt</t>
  </si>
  <si>
    <t>Falls weniger Anlagen einer Art installiert werden, müssen mehr Anlagen der anderen Art installiert werden, damit das Ziel der Treibhausgasneutralität im Landkreis München im Zusammenhang mit der Nutzung von Wärme erreichbar bleibt</t>
  </si>
  <si>
    <t xml:space="preserve">Dr. Philipp Schramek </t>
  </si>
  <si>
    <t>Landratsamt München</t>
  </si>
  <si>
    <t>Referat 3.3 - Energie, Mobilität und verkehrliche Infrastruktur</t>
  </si>
  <si>
    <t>Frankenthaler Str. 5-9</t>
  </si>
  <si>
    <t xml:space="preserve">81539 München </t>
  </si>
  <si>
    <t>Telefon: 089 / 6221-1957</t>
  </si>
  <si>
    <t>philipp.schramek@lra-m.bayern.de</t>
  </si>
  <si>
    <t>http://www.landkreis-muenchen.de</t>
  </si>
  <si>
    <t>Aktuelle Wärmenachfrage für das Jahr 2018:</t>
  </si>
  <si>
    <t>Prozentuale Veränderung gegenüber 2018</t>
  </si>
  <si>
    <t>Jährliche Sanierungsrate in % bezogen
auf die Gebäudenutzfläche von 2018</t>
  </si>
  <si>
    <t>Quelle: Sozialraumanalyse Landkreis München 2018</t>
  </si>
  <si>
    <t>Die Berechnungen basieren auf Zahlen aus dem Treibhausgasbericht Stand 2018, Statistiken des Landratsamtes München zum KFZ-Bestand am 31.12.2020, Entwicklungsprognosen des Bayerischen Landesamtes für Statistik und der EU-Effizienzrichtlinie, der Sozialraumanalyse für den Landkreis München 2018, freien Annahmen, sowie auf Potenzialanalysen aus dem Projekt "Digitale Energieplanung für den Landkreis München".</t>
  </si>
  <si>
    <t>Die Berechnungen basieren auf Zahlen aus dem Treibhausgasbericht Stand 2018, Statistiken des Landratsamtes München zum KFZ-Bestand am 31.12.2020, Entwicklungsprognosen des Bayerischen Landesamtes für Statistik und der EU-Effizienzrichtlinie,der Sozialraumanalyse für den Landkreis München 2018, freien Annahmen, sowie auf Potenzialanalysen aus dem Projekt "Digitale Energieplanung für den Landkreis München".</t>
  </si>
  <si>
    <t>Zielszenario Energiewende Gemeinde Putzbrunn</t>
  </si>
  <si>
    <t>Stand: 09.02.2023</t>
  </si>
  <si>
    <t>Die Gemeinde Putzbrunn setzt sich folgende Ziele:</t>
  </si>
  <si>
    <t>Oedenstockach</t>
  </si>
  <si>
    <t>Putzbrunn</t>
  </si>
  <si>
    <t>Solalinden</t>
  </si>
  <si>
    <t>Waldkolonie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</si>
</sst>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00"/>
    <numFmt numFmtId="166" formatCode="#\ &quot;g/kWh&quot;"/>
    <numFmt numFmtId="167" formatCode="#,##0\ &quot;Einwohner&quot;"/>
    <numFmt numFmtId="168" formatCode="#,##0\ &quot;MWh/a&quot;"/>
    <numFmt numFmtId="169" formatCode="#.0\ &quot;t/(Einwohner a)&quot;"/>
    <numFmt numFmtId="170" formatCode="#,##0\ &quot;t/a&quot;"/>
    <numFmt numFmtId="171" formatCode="#0.0\ &quot;t/(Einwohner a)&quot;"/>
  </numFmts>
  <fonts count="64" x14ac:knownFonts="1">
    <font>
      <sz val="11"/>
      <color theme="1"/>
      <name val="Calibri"/>
      <family val="2"/>
      <scheme val="minor"/>
    </font>
    <font>
      <sz val="11"/>
      <color theme="1"/>
      <name val="Calibri"/>
      <family val="2"/>
      <scheme val="minor"/>
    </font>
    <font>
      <b/>
      <sz val="14"/>
      <color theme="1"/>
      <name val="Arial"/>
      <family val="2"/>
    </font>
    <font>
      <sz val="11"/>
      <color theme="1"/>
      <name val="Arial"/>
      <family val="2"/>
    </font>
    <font>
      <b/>
      <sz val="11"/>
      <color theme="1"/>
      <name val="Arial"/>
      <family val="2"/>
    </font>
    <font>
      <sz val="12"/>
      <color theme="1"/>
      <name val="Arial"/>
      <family val="2"/>
    </font>
    <font>
      <sz val="11"/>
      <name val="Arial"/>
      <family val="2"/>
    </font>
    <font>
      <sz val="8"/>
      <color theme="1"/>
      <name val="Arial"/>
      <family val="2"/>
    </font>
    <font>
      <u/>
      <sz val="11"/>
      <color theme="10"/>
      <name val="Calibri"/>
      <family val="2"/>
      <scheme val="minor"/>
    </font>
    <font>
      <b/>
      <sz val="20"/>
      <color theme="0"/>
      <name val="Arial"/>
      <family val="2"/>
    </font>
    <font>
      <sz val="11"/>
      <color theme="9" tint="-0.499984740745262"/>
      <name val="Arial"/>
      <family val="2"/>
    </font>
    <font>
      <b/>
      <sz val="16"/>
      <color theme="0"/>
      <name val="Arial"/>
      <family val="2"/>
    </font>
    <font>
      <sz val="16"/>
      <color theme="1"/>
      <name val="Arial"/>
      <family val="2"/>
    </font>
    <font>
      <b/>
      <i/>
      <sz val="16"/>
      <color theme="1"/>
      <name val="Arial"/>
      <family val="2"/>
    </font>
    <font>
      <sz val="11"/>
      <color rgb="FFFF7171"/>
      <name val="Arial"/>
      <family val="2"/>
    </font>
    <font>
      <sz val="20"/>
      <color theme="1"/>
      <name val="Arial"/>
      <family val="2"/>
    </font>
    <font>
      <b/>
      <sz val="14"/>
      <name val="Arial"/>
      <family val="2"/>
    </font>
    <font>
      <sz val="10"/>
      <color theme="1" tint="0.499984740745262"/>
      <name val="Arial"/>
      <family val="2"/>
    </font>
    <font>
      <sz val="11"/>
      <color rgb="FFFF0000"/>
      <name val="Arial"/>
      <family val="2"/>
    </font>
    <font>
      <b/>
      <u/>
      <sz val="18"/>
      <color rgb="FF3CB7DF"/>
      <name val="Arial"/>
      <family val="2"/>
    </font>
    <font>
      <sz val="10"/>
      <color theme="1"/>
      <name val="Arial"/>
      <family val="2"/>
    </font>
    <font>
      <b/>
      <i/>
      <sz val="11"/>
      <color theme="1"/>
      <name val="Arial"/>
      <family val="2"/>
    </font>
    <font>
      <sz val="10"/>
      <color rgb="FFFF0000"/>
      <name val="Arial"/>
      <family val="2"/>
    </font>
    <font>
      <b/>
      <sz val="10"/>
      <color theme="1"/>
      <name val="Arial"/>
      <family val="2"/>
    </font>
    <font>
      <b/>
      <sz val="10"/>
      <name val="Arial"/>
      <family val="2"/>
    </font>
    <font>
      <i/>
      <sz val="11"/>
      <color theme="1"/>
      <name val="Arial"/>
      <family val="2"/>
    </font>
    <font>
      <sz val="11"/>
      <color theme="0" tint="-0.249977111117893"/>
      <name val="Arial"/>
      <family val="2"/>
    </font>
    <font>
      <b/>
      <sz val="14"/>
      <color theme="2" tint="-0.249977111117893"/>
      <name val="Arial"/>
      <family val="2"/>
    </font>
    <font>
      <b/>
      <sz val="11"/>
      <color theme="2" tint="-0.249977111117893"/>
      <name val="Arial"/>
      <family val="2"/>
    </font>
    <font>
      <sz val="11"/>
      <color theme="2" tint="-0.249977111117893"/>
      <name val="Arial"/>
      <family val="2"/>
    </font>
    <font>
      <sz val="11"/>
      <color theme="0" tint="-0.499984740745262"/>
      <name val="Arial"/>
      <family val="2"/>
    </font>
    <font>
      <u/>
      <sz val="11"/>
      <color theme="2" tint="-0.249977111117893"/>
      <name val="Arial"/>
      <family val="2"/>
    </font>
    <font>
      <u/>
      <sz val="11"/>
      <color theme="10"/>
      <name val="Arial"/>
      <family val="2"/>
    </font>
    <font>
      <sz val="10"/>
      <name val="Arial"/>
      <family val="2"/>
    </font>
    <font>
      <sz val="10"/>
      <color theme="0" tint="-0.34998626667073579"/>
      <name val="Arial"/>
      <family val="2"/>
    </font>
    <font>
      <i/>
      <sz val="10"/>
      <color theme="1"/>
      <name val="Arial"/>
      <family val="2"/>
    </font>
    <font>
      <b/>
      <sz val="10"/>
      <color theme="0" tint="-0.34998626667073579"/>
      <name val="Arial"/>
      <family val="2"/>
    </font>
    <font>
      <i/>
      <sz val="9"/>
      <color rgb="FFFF0000"/>
      <name val="Arial"/>
      <family val="2"/>
    </font>
    <font>
      <i/>
      <sz val="10"/>
      <name val="Arial"/>
      <family val="2"/>
    </font>
    <font>
      <b/>
      <sz val="18"/>
      <color theme="1"/>
      <name val="Arial"/>
      <family val="2"/>
    </font>
    <font>
      <b/>
      <sz val="18"/>
      <color rgb="FF3CB7DF"/>
      <name val="Arial"/>
      <family val="2"/>
    </font>
    <font>
      <b/>
      <sz val="10"/>
      <color rgb="FF71BAE8"/>
      <name val="Arial"/>
      <family val="2"/>
    </font>
    <font>
      <b/>
      <sz val="12"/>
      <color rgb="FF85BC28"/>
      <name val="Arial"/>
      <family val="2"/>
    </font>
    <font>
      <sz val="10"/>
      <color theme="9" tint="-0.499984740745262"/>
      <name val="Arial"/>
      <family val="2"/>
    </font>
    <font>
      <sz val="10"/>
      <color rgb="FFFF7171"/>
      <name val="Arial"/>
      <family val="2"/>
    </font>
    <font>
      <sz val="10"/>
      <color theme="0" tint="-0.249977111117893"/>
      <name val="Arial"/>
      <family val="2"/>
    </font>
    <font>
      <b/>
      <sz val="12"/>
      <color theme="0"/>
      <name val="Arial"/>
      <family val="2"/>
    </font>
    <font>
      <sz val="20"/>
      <name val="Arial"/>
      <family val="2"/>
    </font>
    <font>
      <b/>
      <sz val="10"/>
      <color rgb="FFFF7171"/>
      <name val="Arial"/>
      <family val="2"/>
    </font>
    <font>
      <sz val="10"/>
      <color theme="0"/>
      <name val="Arial"/>
      <family val="2"/>
    </font>
    <font>
      <b/>
      <sz val="18"/>
      <color rgb="FF85BC28"/>
      <name val="Arial"/>
      <family val="2"/>
    </font>
    <font>
      <b/>
      <sz val="14"/>
      <color rgb="FF71BAE8"/>
      <name val="Arial"/>
      <family val="2"/>
    </font>
    <font>
      <sz val="6"/>
      <color theme="0" tint="-0.499984740745262"/>
      <name val="Arial"/>
      <family val="2"/>
    </font>
    <font>
      <sz val="11"/>
      <color theme="0"/>
      <name val="Arial"/>
      <family val="2"/>
    </font>
    <font>
      <b/>
      <sz val="10"/>
      <color theme="1" tint="0.499984740745262"/>
      <name val="Arial"/>
      <family val="2"/>
    </font>
    <font>
      <sz val="11"/>
      <color theme="1" tint="0.499984740745262"/>
      <name val="Arial"/>
      <family val="2"/>
    </font>
    <font>
      <b/>
      <u/>
      <sz val="11"/>
      <color rgb="FF71BAE8"/>
      <name val="Calibri"/>
      <family val="2"/>
      <scheme val="minor"/>
    </font>
    <font>
      <b/>
      <i/>
      <sz val="8"/>
      <color theme="0"/>
      <name val="Arial"/>
      <family val="2"/>
    </font>
    <font>
      <sz val="8"/>
      <color theme="0"/>
      <name val="Arial"/>
      <family val="2"/>
    </font>
    <font>
      <i/>
      <sz val="8"/>
      <color theme="0"/>
      <name val="Arial"/>
      <family val="2"/>
    </font>
    <font>
      <sz val="12"/>
      <name val="Arial"/>
      <family val="2"/>
    </font>
    <font>
      <b/>
      <sz val="12"/>
      <color theme="1"/>
      <name val="Arial"/>
      <family val="2"/>
    </font>
    <font>
      <sz val="9"/>
      <color indexed="81"/>
      <name val="Segoe UI"/>
      <family val="2"/>
    </font>
    <font>
      <b/>
      <sz val="9"/>
      <color indexed="81"/>
      <name val="Segoe UI"/>
      <family val="2"/>
    </font>
  </fonts>
  <fills count="19">
    <fill>
      <patternFill patternType="none"/>
    </fill>
    <fill>
      <patternFill patternType="gray125"/>
    </fill>
    <fill>
      <patternFill patternType="solid">
        <fgColor rgb="FFF7F7F7"/>
        <bgColor indexed="64"/>
      </patternFill>
    </fill>
    <fill>
      <patternFill patternType="solid">
        <fgColor theme="1"/>
        <bgColor indexed="64"/>
      </patternFill>
    </fill>
    <fill>
      <patternFill patternType="solid">
        <fgColor theme="1" tint="0.499984740745262"/>
        <bgColor indexed="64"/>
      </patternFill>
    </fill>
    <fill>
      <patternFill patternType="solid">
        <fgColor theme="9" tint="0.59996337778862885"/>
        <bgColor indexed="64"/>
      </patternFill>
    </fill>
    <fill>
      <patternFill patternType="solid">
        <fgColor theme="0" tint="-4.9989318521683403E-2"/>
        <bgColor rgb="FFFFFFA7"/>
      </patternFill>
    </fill>
    <fill>
      <patternFill patternType="solid">
        <fgColor rgb="FFFFFFA7"/>
        <bgColor rgb="FFFFFFA7"/>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D0CECE"/>
        <bgColor indexed="64"/>
      </patternFill>
    </fill>
    <fill>
      <patternFill patternType="solid">
        <fgColor theme="0"/>
        <bgColor rgb="FFFFFFA7"/>
      </patternFill>
    </fill>
    <fill>
      <patternFill patternType="solid">
        <fgColor theme="0" tint="-0.14999847407452621"/>
        <bgColor indexed="64"/>
      </patternFill>
    </fill>
    <fill>
      <patternFill patternType="solid">
        <fgColor theme="0" tint="-0.14999847407452621"/>
        <bgColor rgb="FFFFFFA7"/>
      </patternFill>
    </fill>
    <fill>
      <patternFill patternType="solid">
        <fgColor theme="6" tint="0.79998168889431442"/>
        <bgColor rgb="FFFFFFA7"/>
      </patternFill>
    </fill>
    <fill>
      <patternFill patternType="solid">
        <fgColor rgb="FF71BAE8"/>
        <bgColor indexed="64"/>
      </patternFill>
    </fill>
    <fill>
      <patternFill patternType="solid">
        <fgColor rgb="FFDEEFFA"/>
        <bgColor indexed="64"/>
      </patternFill>
    </fill>
    <fill>
      <patternFill patternType="solid">
        <fgColor rgb="FFFF7575"/>
        <bgColor indexed="64"/>
      </patternFill>
    </fill>
    <fill>
      <patternFill patternType="solid">
        <fgColor rgb="FF618B1D"/>
        <bgColor indexed="64"/>
      </patternFill>
    </fill>
  </fills>
  <borders count="19">
    <border>
      <left/>
      <right/>
      <top/>
      <bottom/>
      <diagonal/>
    </border>
    <border>
      <left style="thin">
        <color indexed="64"/>
      </left>
      <right/>
      <top style="thin">
        <color indexed="64"/>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FF3737"/>
      </left>
      <right style="thin">
        <color rgb="FFFF3737"/>
      </right>
      <top style="thin">
        <color rgb="FFFF3737"/>
      </top>
      <bottom style="thin">
        <color rgb="FFFF3737"/>
      </bottom>
      <diagonal/>
    </border>
    <border>
      <left style="thin">
        <color theme="2" tint="-0.499984740745262"/>
      </left>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style="thin">
        <color theme="2" tint="-0.499984740745262"/>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top style="thin">
        <color theme="0"/>
      </top>
      <bottom style="thin">
        <color theme="0"/>
      </bottom>
      <diagonal/>
    </border>
    <border>
      <left/>
      <right style="thin">
        <color indexed="64"/>
      </right>
      <top/>
      <bottom/>
      <diagonal/>
    </border>
  </borders>
  <cellStyleXfs count="13">
    <xf numFmtId="0" fontId="0" fillId="0" borderId="0"/>
    <xf numFmtId="9" fontId="1" fillId="0" borderId="0" applyFont="0" applyFill="0" applyBorder="0" applyAlignment="0" applyProtection="0"/>
    <xf numFmtId="0" fontId="8" fillId="0" borderId="0" applyNumberFormat="0" applyFill="0" applyBorder="0" applyAlignment="0" applyProtection="0"/>
    <xf numFmtId="49" fontId="9" fillId="3" borderId="0">
      <alignment horizontal="center" vertical="center"/>
    </xf>
    <xf numFmtId="3" fontId="10" fillId="5" borderId="2">
      <alignment horizontal="center" vertical="center"/>
    </xf>
    <xf numFmtId="0" fontId="11" fillId="4" borderId="1" applyBorder="0">
      <alignment horizontal="center"/>
    </xf>
    <xf numFmtId="0" fontId="13" fillId="0" borderId="0"/>
    <xf numFmtId="0" fontId="5" fillId="0" borderId="0">
      <alignment horizontal="center" vertical="center" wrapText="1"/>
    </xf>
    <xf numFmtId="3" fontId="6" fillId="6" borderId="3">
      <alignment horizontal="center" vertical="center"/>
    </xf>
    <xf numFmtId="3" fontId="14" fillId="7" borderId="4">
      <alignment horizontal="center" vertical="center"/>
    </xf>
    <xf numFmtId="49" fontId="2" fillId="0" borderId="0">
      <alignment horizontal="center" vertical="center" wrapText="1"/>
    </xf>
    <xf numFmtId="0" fontId="1" fillId="0" borderId="0"/>
    <xf numFmtId="9" fontId="1" fillId="0" borderId="0" applyFont="0" applyFill="0" applyBorder="0" applyAlignment="0" applyProtection="0"/>
  </cellStyleXfs>
  <cellXfs count="307">
    <xf numFmtId="0" fontId="0" fillId="0" borderId="0" xfId="0"/>
    <xf numFmtId="0" fontId="3" fillId="0" borderId="0" xfId="0" applyFont="1"/>
    <xf numFmtId="0" fontId="12" fillId="0" borderId="0" xfId="0" applyFont="1"/>
    <xf numFmtId="0" fontId="3" fillId="0" borderId="0" xfId="0" applyFont="1" applyAlignment="1">
      <alignment horizontal="center" vertical="center"/>
    </xf>
    <xf numFmtId="0" fontId="6" fillId="0" borderId="0" xfId="0" applyFont="1" applyAlignment="1">
      <alignment horizontal="center" vertical="center"/>
    </xf>
    <xf numFmtId="49" fontId="3" fillId="0" borderId="0" xfId="0" applyNumberFormat="1" applyFont="1"/>
    <xf numFmtId="0" fontId="18" fillId="0" borderId="0" xfId="0" applyFont="1"/>
    <xf numFmtId="0" fontId="4" fillId="0" borderId="0" xfId="0" applyFont="1"/>
    <xf numFmtId="0" fontId="21" fillId="0" borderId="0" xfId="0" applyFont="1"/>
    <xf numFmtId="0" fontId="4" fillId="0" borderId="0" xfId="0" applyFont="1" applyAlignment="1">
      <alignment vertical="center"/>
    </xf>
    <xf numFmtId="0" fontId="3"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 fillId="0" borderId="0" xfId="0" applyFont="1" applyAlignment="1">
      <alignment horizontal="left" vertical="center"/>
    </xf>
    <xf numFmtId="0" fontId="20" fillId="0" borderId="0" xfId="0" applyFont="1"/>
    <xf numFmtId="0" fontId="26" fillId="0" borderId="0" xfId="0" applyFont="1"/>
    <xf numFmtId="0" fontId="28" fillId="0" borderId="0" xfId="0" applyFont="1" applyAlignment="1">
      <alignment horizontal="left"/>
    </xf>
    <xf numFmtId="0" fontId="29" fillId="0" borderId="0" xfId="0" applyFont="1" applyAlignment="1">
      <alignment horizontal="left"/>
    </xf>
    <xf numFmtId="0" fontId="29" fillId="0" borderId="0" xfId="0" applyFont="1" applyAlignment="1">
      <alignment horizontal="left" indent="2"/>
    </xf>
    <xf numFmtId="0" fontId="30" fillId="0" borderId="0" xfId="0" applyFont="1"/>
    <xf numFmtId="0" fontId="31" fillId="0" borderId="0" xfId="2" applyFont="1" applyAlignment="1">
      <alignment horizontal="left" indent="2"/>
    </xf>
    <xf numFmtId="0" fontId="32" fillId="0" borderId="0" xfId="2" applyFont="1"/>
    <xf numFmtId="0" fontId="19" fillId="0" borderId="0" xfId="0" applyFont="1" applyAlignment="1">
      <alignment horizontal="center" vertical="center"/>
    </xf>
    <xf numFmtId="0" fontId="22" fillId="0" borderId="0" xfId="0" applyFont="1" applyAlignment="1">
      <alignment horizontal="left" vertical="center" wrapText="1"/>
    </xf>
    <xf numFmtId="0" fontId="3" fillId="0" borderId="0" xfId="0" applyFont="1" applyAlignment="1">
      <alignment wrapText="1"/>
    </xf>
    <xf numFmtId="0" fontId="21" fillId="0" borderId="0" xfId="0" applyFont="1" applyAlignment="1">
      <alignment vertical="center"/>
    </xf>
    <xf numFmtId="0" fontId="3" fillId="0" borderId="0" xfId="0" applyFont="1" applyAlignment="1">
      <alignment vertical="center"/>
    </xf>
    <xf numFmtId="0" fontId="25" fillId="0" borderId="0" xfId="0" applyFont="1" applyAlignment="1">
      <alignment vertical="center"/>
    </xf>
    <xf numFmtId="0" fontId="32" fillId="0" borderId="0" xfId="2" applyFont="1" applyBorder="1" applyAlignment="1">
      <alignment vertical="center"/>
    </xf>
    <xf numFmtId="0" fontId="29"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indent="2"/>
    </xf>
    <xf numFmtId="49" fontId="23" fillId="0" borderId="0" xfId="10" applyFont="1">
      <alignment horizontal="center" vertical="center" wrapText="1"/>
    </xf>
    <xf numFmtId="1" fontId="23" fillId="0" borderId="0" xfId="10" applyNumberFormat="1" applyFont="1">
      <alignment horizontal="center" vertical="center" wrapText="1"/>
    </xf>
    <xf numFmtId="9" fontId="33" fillId="0" borderId="0" xfId="1" applyFont="1" applyFill="1" applyBorder="1" applyAlignment="1">
      <alignment horizontal="center" vertical="center"/>
    </xf>
    <xf numFmtId="0" fontId="20" fillId="0" borderId="0" xfId="0" applyFont="1" applyAlignment="1">
      <alignment wrapText="1"/>
    </xf>
    <xf numFmtId="3" fontId="33" fillId="0" borderId="0" xfId="9" applyFont="1" applyFill="1" applyBorder="1">
      <alignment horizontal="center" vertical="center"/>
    </xf>
    <xf numFmtId="0" fontId="33" fillId="0" borderId="0" xfId="0" applyFont="1"/>
    <xf numFmtId="1" fontId="20" fillId="0" borderId="7" xfId="0" applyNumberFormat="1" applyFont="1" applyBorder="1"/>
    <xf numFmtId="1" fontId="20" fillId="0" borderId="8" xfId="0" applyNumberFormat="1" applyFont="1" applyBorder="1"/>
    <xf numFmtId="0" fontId="35" fillId="0" borderId="0" xfId="0" applyFont="1" applyAlignment="1">
      <alignment horizontal="center" vertical="center" wrapText="1"/>
    </xf>
    <xf numFmtId="1" fontId="43" fillId="16" borderId="0" xfId="4" applyNumberFormat="1" applyFont="1" applyFill="1" applyBorder="1">
      <alignment horizontal="center" vertical="center"/>
    </xf>
    <xf numFmtId="0" fontId="35" fillId="0" borderId="0" xfId="0" applyFont="1" applyAlignment="1">
      <alignment vertical="center" wrapText="1"/>
    </xf>
    <xf numFmtId="1" fontId="43" fillId="16" borderId="12" xfId="4" applyNumberFormat="1" applyFont="1" applyFill="1" applyBorder="1">
      <alignment horizontal="center" vertical="center"/>
    </xf>
    <xf numFmtId="1" fontId="33" fillId="16" borderId="7" xfId="4" applyNumberFormat="1" applyFont="1" applyFill="1" applyBorder="1">
      <alignment horizontal="center" vertical="center"/>
    </xf>
    <xf numFmtId="0" fontId="20" fillId="0" borderId="5" xfId="0" applyFont="1" applyBorder="1" applyAlignment="1">
      <alignment wrapText="1"/>
    </xf>
    <xf numFmtId="1" fontId="23" fillId="0" borderId="12" xfId="10" applyNumberFormat="1" applyFont="1" applyBorder="1">
      <alignment horizontal="center" vertical="center" wrapText="1"/>
    </xf>
    <xf numFmtId="0" fontId="20" fillId="0" borderId="0" xfId="7" applyFont="1">
      <alignment horizontal="center" vertical="center" wrapText="1"/>
    </xf>
    <xf numFmtId="9" fontId="33" fillId="16" borderId="0" xfId="1" applyFont="1" applyFill="1" applyBorder="1" applyAlignment="1">
      <alignment horizontal="center" vertical="center"/>
    </xf>
    <xf numFmtId="0" fontId="20" fillId="0" borderId="7" xfId="7" applyFont="1" applyBorder="1">
      <alignment horizontal="center" vertical="center" wrapText="1"/>
    </xf>
    <xf numFmtId="9" fontId="33" fillId="16" borderId="7" xfId="1" applyFont="1" applyFill="1" applyBorder="1" applyAlignment="1">
      <alignment horizontal="center" vertical="center"/>
    </xf>
    <xf numFmtId="9" fontId="33" fillId="16" borderId="8" xfId="1" applyFont="1" applyFill="1" applyBorder="1" applyAlignment="1">
      <alignment horizontal="center" vertical="center"/>
    </xf>
    <xf numFmtId="9" fontId="33" fillId="16" borderId="12" xfId="1" applyFont="1" applyFill="1" applyBorder="1" applyAlignment="1">
      <alignment horizontal="center" vertical="center"/>
    </xf>
    <xf numFmtId="9" fontId="33" fillId="0" borderId="7" xfId="1" applyFont="1" applyBorder="1" applyAlignment="1">
      <alignment horizontal="center" vertical="center" wrapText="1"/>
    </xf>
    <xf numFmtId="164" fontId="33" fillId="16" borderId="0" xfId="1" applyNumberFormat="1" applyFont="1" applyFill="1" applyBorder="1" applyAlignment="1">
      <alignment horizontal="center" vertical="center"/>
    </xf>
    <xf numFmtId="164" fontId="33" fillId="16" borderId="12" xfId="1" applyNumberFormat="1" applyFont="1" applyFill="1" applyBorder="1" applyAlignment="1">
      <alignment horizontal="center" vertical="center"/>
    </xf>
    <xf numFmtId="164" fontId="33" fillId="16" borderId="7" xfId="1" applyNumberFormat="1" applyFont="1" applyFill="1" applyBorder="1" applyAlignment="1">
      <alignment horizontal="center" vertical="center"/>
    </xf>
    <xf numFmtId="164" fontId="33" fillId="16" borderId="8" xfId="1" applyNumberFormat="1" applyFont="1" applyFill="1" applyBorder="1" applyAlignment="1">
      <alignment horizontal="center" vertical="center"/>
    </xf>
    <xf numFmtId="0" fontId="20" fillId="0" borderId="5" xfId="0" applyFont="1" applyBorder="1"/>
    <xf numFmtId="0" fontId="20" fillId="0" borderId="7" xfId="0" applyFont="1" applyBorder="1" applyAlignment="1">
      <alignment horizontal="center" vertical="center" wrapText="1"/>
    </xf>
    <xf numFmtId="0" fontId="20" fillId="0" borderId="6" xfId="0" applyFont="1" applyBorder="1"/>
    <xf numFmtId="0" fontId="20" fillId="0" borderId="7" xfId="0" applyFont="1" applyBorder="1"/>
    <xf numFmtId="0" fontId="20" fillId="0" borderId="7" xfId="0" applyFont="1" applyBorder="1" applyAlignment="1">
      <alignment horizontal="center"/>
    </xf>
    <xf numFmtId="0" fontId="43" fillId="16" borderId="7" xfId="1" applyNumberFormat="1" applyFont="1" applyFill="1" applyBorder="1" applyAlignment="1">
      <alignment horizontal="center" vertical="center"/>
    </xf>
    <xf numFmtId="49" fontId="23" fillId="0" borderId="7" xfId="10" applyFont="1" applyBorder="1">
      <alignment horizontal="center" vertical="center" wrapText="1"/>
    </xf>
    <xf numFmtId="49" fontId="23" fillId="0" borderId="8" xfId="10" applyFont="1" applyBorder="1">
      <alignment horizontal="center" vertical="center" wrapText="1"/>
    </xf>
    <xf numFmtId="0" fontId="33" fillId="0" borderId="7" xfId="0" applyFont="1" applyBorder="1"/>
    <xf numFmtId="9" fontId="33" fillId="0" borderId="7" xfId="1" applyFont="1" applyFill="1" applyBorder="1" applyAlignment="1">
      <alignment horizontal="center" vertical="center"/>
    </xf>
    <xf numFmtId="9" fontId="33" fillId="0" borderId="8" xfId="1" applyFont="1" applyFill="1" applyBorder="1" applyAlignment="1">
      <alignment horizontal="center" vertical="center"/>
    </xf>
    <xf numFmtId="3" fontId="33" fillId="0" borderId="0" xfId="8" applyFont="1" applyFill="1" applyBorder="1">
      <alignment horizontal="center" vertical="center"/>
    </xf>
    <xf numFmtId="3" fontId="33" fillId="0" borderId="12" xfId="8" applyFont="1" applyFill="1" applyBorder="1">
      <alignment horizontal="center" vertical="center"/>
    </xf>
    <xf numFmtId="49" fontId="23" fillId="0" borderId="12" xfId="10" applyFont="1" applyBorder="1">
      <alignment horizontal="center" vertical="center" wrapText="1"/>
    </xf>
    <xf numFmtId="0" fontId="20" fillId="0" borderId="0" xfId="0" applyFont="1" applyAlignment="1">
      <alignment horizontal="center" wrapText="1"/>
    </xf>
    <xf numFmtId="2" fontId="33" fillId="0" borderId="0" xfId="8" applyNumberFormat="1" applyFont="1" applyFill="1" applyBorder="1">
      <alignment horizontal="center" vertical="center"/>
    </xf>
    <xf numFmtId="3" fontId="33" fillId="0" borderId="12" xfId="9" applyFont="1" applyFill="1" applyBorder="1">
      <alignment horizontal="center" vertical="center"/>
    </xf>
    <xf numFmtId="3" fontId="33" fillId="0" borderId="7" xfId="8" applyFont="1" applyFill="1" applyBorder="1">
      <alignment horizontal="center" vertical="center"/>
    </xf>
    <xf numFmtId="3" fontId="33" fillId="0" borderId="7" xfId="9" applyFont="1" applyFill="1" applyBorder="1">
      <alignment horizontal="center" vertical="center"/>
    </xf>
    <xf numFmtId="3" fontId="33" fillId="0" borderId="8" xfId="9" applyFont="1" applyFill="1" applyBorder="1">
      <alignment horizontal="center" vertical="center"/>
    </xf>
    <xf numFmtId="3" fontId="43" fillId="16" borderId="0" xfId="4" applyFont="1" applyFill="1" applyBorder="1">
      <alignment horizontal="center" vertical="center"/>
    </xf>
    <xf numFmtId="3" fontId="43" fillId="16" borderId="12" xfId="4" applyFont="1" applyFill="1" applyBorder="1">
      <alignment horizontal="center" vertical="center"/>
    </xf>
    <xf numFmtId="3" fontId="43" fillId="16" borderId="7" xfId="4" applyFont="1" applyFill="1" applyBorder="1">
      <alignment horizontal="center" vertical="center"/>
    </xf>
    <xf numFmtId="3" fontId="43" fillId="16" borderId="8" xfId="4" applyFont="1" applyFill="1" applyBorder="1">
      <alignment horizontal="center" vertical="center"/>
    </xf>
    <xf numFmtId="0" fontId="20" fillId="0" borderId="12" xfId="0" applyFont="1" applyBorder="1"/>
    <xf numFmtId="0" fontId="20" fillId="0" borderId="8" xfId="0" applyFont="1" applyBorder="1"/>
    <xf numFmtId="49" fontId="24" fillId="0" borderId="0" xfId="10" applyFont="1">
      <alignment horizontal="center" vertical="center" wrapText="1"/>
    </xf>
    <xf numFmtId="1" fontId="20" fillId="0" borderId="0" xfId="0" applyNumberFormat="1" applyFont="1"/>
    <xf numFmtId="0" fontId="38" fillId="0" borderId="5" xfId="11" applyFont="1" applyBorder="1"/>
    <xf numFmtId="0" fontId="24" fillId="0" borderId="5" xfId="7" applyFont="1" applyBorder="1">
      <alignment horizontal="center" vertical="center" wrapText="1"/>
    </xf>
    <xf numFmtId="0" fontId="33" fillId="0" borderId="5" xfId="7" applyFont="1" applyBorder="1">
      <alignment horizontal="center" vertical="center" wrapText="1"/>
    </xf>
    <xf numFmtId="0" fontId="33" fillId="0" borderId="6" xfId="7" applyFont="1" applyBorder="1">
      <alignment horizontal="center" vertical="center" wrapText="1"/>
    </xf>
    <xf numFmtId="0" fontId="49" fillId="0" borderId="5" xfId="7" applyFont="1" applyBorder="1">
      <alignment horizontal="center" vertical="center" wrapText="1"/>
    </xf>
    <xf numFmtId="1" fontId="24" fillId="0" borderId="0" xfId="10" applyNumberFormat="1" applyFont="1" applyAlignment="1">
      <alignment horizontal="right" vertical="center" wrapText="1"/>
    </xf>
    <xf numFmtId="1" fontId="24" fillId="0" borderId="12" xfId="10" applyNumberFormat="1" applyFont="1" applyBorder="1" applyAlignment="1">
      <alignment horizontal="right" vertical="center" wrapText="1"/>
    </xf>
    <xf numFmtId="3" fontId="24" fillId="0" borderId="0" xfId="8" applyFont="1" applyFill="1" applyBorder="1" applyAlignment="1">
      <alignment horizontal="right" vertical="center"/>
    </xf>
    <xf numFmtId="3" fontId="24" fillId="0" borderId="0" xfId="9" applyFont="1" applyFill="1" applyBorder="1" applyAlignment="1">
      <alignment horizontal="right" vertical="center"/>
    </xf>
    <xf numFmtId="3" fontId="24" fillId="0" borderId="12" xfId="9" applyFont="1" applyFill="1" applyBorder="1" applyAlignment="1">
      <alignment horizontal="right" vertical="center"/>
    </xf>
    <xf numFmtId="3" fontId="33" fillId="0" borderId="0" xfId="8" applyFont="1" applyFill="1" applyBorder="1" applyAlignment="1">
      <alignment horizontal="right" vertical="center"/>
    </xf>
    <xf numFmtId="3" fontId="33" fillId="0" borderId="0" xfId="9" applyFont="1" applyFill="1" applyBorder="1" applyAlignment="1">
      <alignment horizontal="right" vertical="center"/>
    </xf>
    <xf numFmtId="3" fontId="33" fillId="0" borderId="12" xfId="9" applyFont="1" applyFill="1" applyBorder="1" applyAlignment="1">
      <alignment horizontal="right" vertical="center"/>
    </xf>
    <xf numFmtId="3" fontId="49" fillId="0" borderId="0" xfId="8" applyFont="1" applyFill="1" applyBorder="1" applyAlignment="1">
      <alignment horizontal="right" vertical="center"/>
    </xf>
    <xf numFmtId="0" fontId="33" fillId="0" borderId="0" xfId="0" applyFont="1" applyAlignment="1">
      <alignment horizontal="right"/>
    </xf>
    <xf numFmtId="9" fontId="33" fillId="0" borderId="0" xfId="1" applyFont="1" applyFill="1" applyBorder="1" applyAlignment="1">
      <alignment horizontal="right" vertical="center"/>
    </xf>
    <xf numFmtId="9" fontId="33" fillId="0" borderId="12" xfId="1" applyFont="1" applyFill="1" applyBorder="1" applyAlignment="1">
      <alignment horizontal="right" vertical="center"/>
    </xf>
    <xf numFmtId="0" fontId="33" fillId="0" borderId="7" xfId="0" applyFont="1" applyBorder="1" applyAlignment="1">
      <alignment horizontal="right"/>
    </xf>
    <xf numFmtId="9" fontId="33" fillId="0" borderId="7" xfId="1" applyFont="1" applyFill="1" applyBorder="1" applyAlignment="1">
      <alignment horizontal="right" vertical="center"/>
    </xf>
    <xf numFmtId="9" fontId="33" fillId="0" borderId="8" xfId="1" applyFont="1" applyFill="1" applyBorder="1" applyAlignment="1">
      <alignment horizontal="right" vertical="center"/>
    </xf>
    <xf numFmtId="0" fontId="33" fillId="0" borderId="0" xfId="0" applyFont="1" applyAlignment="1">
      <alignment horizontal="right" vertical="center"/>
    </xf>
    <xf numFmtId="0" fontId="33" fillId="0" borderId="7" xfId="0" applyFont="1" applyBorder="1" applyAlignment="1">
      <alignment horizontal="right" vertical="center"/>
    </xf>
    <xf numFmtId="0" fontId="34" fillId="0" borderId="5" xfId="11" applyFont="1" applyBorder="1"/>
    <xf numFmtId="0" fontId="20" fillId="0" borderId="5" xfId="7" applyFont="1" applyBorder="1">
      <alignment horizontal="center" vertical="center" wrapText="1"/>
    </xf>
    <xf numFmtId="0" fontId="20" fillId="0" borderId="5" xfId="7" applyFont="1" applyBorder="1" applyAlignment="1">
      <alignment horizontal="left" vertical="center" wrapText="1"/>
    </xf>
    <xf numFmtId="3" fontId="48" fillId="0" borderId="12" xfId="9" applyFont="1" applyFill="1" applyBorder="1" applyAlignment="1">
      <alignment horizontal="center" vertical="center" wrapText="1"/>
    </xf>
    <xf numFmtId="3" fontId="20" fillId="0" borderId="0" xfId="11" applyNumberFormat="1" applyFont="1"/>
    <xf numFmtId="0" fontId="33" fillId="0" borderId="5" xfId="7" applyFont="1" applyBorder="1" applyAlignment="1">
      <alignment horizontal="left" vertical="center" wrapText="1"/>
    </xf>
    <xf numFmtId="0" fontId="33" fillId="0" borderId="5" xfId="11" applyFont="1" applyBorder="1"/>
    <xf numFmtId="0" fontId="24" fillId="0" borderId="5" xfId="7" applyFont="1" applyBorder="1" applyAlignment="1">
      <alignment horizontal="left" vertical="center" wrapText="1"/>
    </xf>
    <xf numFmtId="0" fontId="33" fillId="0" borderId="12" xfId="0" applyFont="1" applyBorder="1" applyAlignment="1">
      <alignment horizontal="right"/>
    </xf>
    <xf numFmtId="3" fontId="24" fillId="0" borderId="0" xfId="9" applyFont="1" applyFill="1" applyBorder="1" applyAlignment="1">
      <alignment horizontal="right" vertical="center" wrapText="1"/>
    </xf>
    <xf numFmtId="0" fontId="24" fillId="12" borderId="5" xfId="7" applyFont="1" applyFill="1" applyBorder="1" applyAlignment="1">
      <alignment horizontal="left" vertical="center" wrapText="1"/>
    </xf>
    <xf numFmtId="3" fontId="24" fillId="12" borderId="0" xfId="8" applyFont="1" applyFill="1" applyBorder="1" applyAlignment="1">
      <alignment horizontal="right" vertical="center"/>
    </xf>
    <xf numFmtId="0" fontId="23" fillId="12" borderId="5" xfId="7" applyFont="1" applyFill="1" applyBorder="1" applyAlignment="1">
      <alignment horizontal="left" vertical="center" wrapText="1"/>
    </xf>
    <xf numFmtId="3" fontId="24" fillId="13" borderId="0" xfId="8" applyFont="1" applyFill="1" applyBorder="1" applyAlignment="1">
      <alignment horizontal="right" vertical="center"/>
    </xf>
    <xf numFmtId="3" fontId="33" fillId="0" borderId="0" xfId="8" applyFont="1" applyFill="1" applyBorder="1" applyAlignment="1">
      <alignment vertical="center"/>
    </xf>
    <xf numFmtId="3" fontId="33" fillId="0" borderId="0" xfId="11" applyNumberFormat="1" applyFont="1"/>
    <xf numFmtId="0" fontId="33" fillId="0" borderId="6" xfId="7" applyFont="1" applyBorder="1" applyAlignment="1">
      <alignment horizontal="left" vertical="center" wrapText="1"/>
    </xf>
    <xf numFmtId="3" fontId="33" fillId="0" borderId="7" xfId="9" applyFont="1" applyFill="1" applyBorder="1" applyAlignment="1">
      <alignment horizontal="right" vertical="center"/>
    </xf>
    <xf numFmtId="3" fontId="33" fillId="0" borderId="7" xfId="9" applyFont="1" applyFill="1" applyBorder="1" applyAlignment="1">
      <alignment vertical="center"/>
    </xf>
    <xf numFmtId="3" fontId="44" fillId="0" borderId="8" xfId="9" applyFont="1" applyFill="1" applyBorder="1">
      <alignment horizontal="center" vertical="center"/>
    </xf>
    <xf numFmtId="0" fontId="7" fillId="0" borderId="0" xfId="0" applyFont="1" applyAlignment="1">
      <alignment horizontal="center" vertical="center"/>
    </xf>
    <xf numFmtId="0" fontId="47" fillId="0" borderId="0" xfId="0" applyFont="1" applyAlignment="1">
      <alignment vertical="center"/>
    </xf>
    <xf numFmtId="0" fontId="20" fillId="0" borderId="0" xfId="0" applyFont="1" applyAlignment="1">
      <alignment horizontal="center" vertical="center"/>
    </xf>
    <xf numFmtId="0" fontId="23" fillId="0" borderId="12" xfId="0" applyFont="1" applyBorder="1" applyAlignment="1">
      <alignment horizontal="right" vertical="center"/>
    </xf>
    <xf numFmtId="0" fontId="33" fillId="0" borderId="0" xfId="0" applyFont="1" applyAlignment="1">
      <alignment horizontal="center" vertical="center"/>
    </xf>
    <xf numFmtId="0" fontId="24" fillId="0" borderId="12" xfId="0" applyFont="1" applyBorder="1" applyAlignment="1">
      <alignment horizontal="right" vertical="center"/>
    </xf>
    <xf numFmtId="1" fontId="33" fillId="16" borderId="0" xfId="4" applyNumberFormat="1" applyFont="1" applyFill="1" applyBorder="1" applyAlignment="1">
      <alignment horizontal="right" vertical="center"/>
    </xf>
    <xf numFmtId="0" fontId="33" fillId="0" borderId="12" xfId="0" applyFont="1" applyBorder="1" applyAlignment="1">
      <alignment horizontal="right" vertical="center"/>
    </xf>
    <xf numFmtId="0" fontId="22" fillId="0" borderId="0" xfId="0" applyFont="1" applyAlignment="1">
      <alignment horizontal="center" vertical="center" wrapText="1"/>
    </xf>
    <xf numFmtId="3" fontId="33" fillId="16" borderId="0" xfId="4" applyFont="1" applyFill="1" applyBorder="1" applyAlignment="1">
      <alignment horizontal="right" vertical="center"/>
    </xf>
    <xf numFmtId="165" fontId="33" fillId="0" borderId="7" xfId="9" applyNumberFormat="1" applyFont="1" applyFill="1" applyBorder="1" applyAlignment="1">
      <alignment horizontal="right" vertical="center"/>
    </xf>
    <xf numFmtId="0" fontId="33" fillId="0" borderId="8" xfId="0" applyFont="1" applyBorder="1" applyAlignment="1">
      <alignment horizontal="right" vertical="center"/>
    </xf>
    <xf numFmtId="0" fontId="22" fillId="0" borderId="0" xfId="0" applyFont="1" applyAlignment="1">
      <alignment horizontal="center" vertical="center"/>
    </xf>
    <xf numFmtId="0" fontId="20" fillId="0" borderId="8" xfId="0" applyFont="1" applyBorder="1" applyAlignment="1">
      <alignment horizontal="right" vertical="center"/>
    </xf>
    <xf numFmtId="3" fontId="33" fillId="16" borderId="7" xfId="8" applyFont="1" applyFill="1" applyBorder="1" applyAlignment="1">
      <alignment horizontal="right" vertical="center"/>
    </xf>
    <xf numFmtId="0" fontId="45" fillId="0" borderId="7" xfId="0" applyFont="1" applyBorder="1" applyAlignment="1">
      <alignment vertical="center"/>
    </xf>
    <xf numFmtId="0" fontId="45" fillId="0" borderId="0" xfId="0" applyFont="1" applyAlignment="1">
      <alignment vertical="center"/>
    </xf>
    <xf numFmtId="0" fontId="23" fillId="0" borderId="12" xfId="0" quotePrefix="1" applyFont="1" applyBorder="1" applyAlignment="1">
      <alignment horizontal="right" vertical="center"/>
    </xf>
    <xf numFmtId="3" fontId="20" fillId="0" borderId="0" xfId="0" applyNumberFormat="1" applyFont="1"/>
    <xf numFmtId="0" fontId="4" fillId="0" borderId="5" xfId="0" applyFont="1" applyBorder="1" applyAlignment="1">
      <alignment horizontal="left" vertical="center"/>
    </xf>
    <xf numFmtId="0" fontId="4" fillId="0" borderId="12" xfId="0" applyFont="1" applyBorder="1" applyAlignment="1">
      <alignment horizontal="left" vertical="center"/>
    </xf>
    <xf numFmtId="0" fontId="3" fillId="0" borderId="12" xfId="0" applyFont="1" applyBorder="1" applyAlignment="1">
      <alignment horizontal="left" vertical="center"/>
    </xf>
    <xf numFmtId="0" fontId="32" fillId="0" borderId="6" xfId="2" applyFont="1" applyBorder="1" applyAlignment="1">
      <alignment vertical="center"/>
    </xf>
    <xf numFmtId="0" fontId="3" fillId="0" borderId="8" xfId="0" applyFont="1" applyBorder="1" applyAlignment="1">
      <alignment vertical="center"/>
    </xf>
    <xf numFmtId="0" fontId="3" fillId="0" borderId="12" xfId="0" applyFont="1" applyBorder="1" applyAlignment="1">
      <alignment horizontal="left" vertical="center" wrapText="1"/>
    </xf>
    <xf numFmtId="0" fontId="32" fillId="0" borderId="5" xfId="2" applyFont="1" applyBorder="1" applyAlignment="1">
      <alignment horizontal="left" vertical="top"/>
    </xf>
    <xf numFmtId="0" fontId="53" fillId="0" borderId="0" xfId="0" applyFont="1"/>
    <xf numFmtId="0" fontId="37" fillId="0" borderId="0" xfId="0" applyFont="1" applyAlignment="1">
      <alignment vertical="center" wrapText="1"/>
    </xf>
    <xf numFmtId="0" fontId="23" fillId="12" borderId="13"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3" xfId="0" applyFont="1" applyFill="1" applyBorder="1" applyAlignment="1">
      <alignment horizontal="center" vertical="center" wrapText="1"/>
    </xf>
    <xf numFmtId="0" fontId="23" fillId="9" borderId="13" xfId="0" applyFont="1" applyFill="1" applyBorder="1"/>
    <xf numFmtId="0" fontId="23" fillId="2" borderId="13" xfId="0" applyFont="1" applyFill="1" applyBorder="1" applyAlignment="1">
      <alignment horizontal="center" vertical="center"/>
    </xf>
    <xf numFmtId="9" fontId="33" fillId="16" borderId="13" xfId="1" applyFont="1" applyFill="1" applyBorder="1" applyAlignment="1">
      <alignment horizontal="center" vertical="center"/>
    </xf>
    <xf numFmtId="0" fontId="3" fillId="0" borderId="16" xfId="0" applyFont="1" applyBorder="1"/>
    <xf numFmtId="3" fontId="24" fillId="0" borderId="8" xfId="9" applyFont="1" applyFill="1" applyBorder="1" applyAlignment="1">
      <alignment horizontal="right" vertical="center"/>
    </xf>
    <xf numFmtId="0" fontId="54" fillId="0" borderId="5" xfId="7" applyFont="1" applyBorder="1" applyAlignment="1">
      <alignment horizontal="left" vertical="center" wrapText="1"/>
    </xf>
    <xf numFmtId="1" fontId="54" fillId="0" borderId="0" xfId="10" applyNumberFormat="1" applyFont="1" applyAlignment="1">
      <alignment horizontal="right" vertical="center" wrapText="1"/>
    </xf>
    <xf numFmtId="0" fontId="17" fillId="0" borderId="5" xfId="7" applyFont="1" applyBorder="1" applyAlignment="1">
      <alignment horizontal="left" vertical="center" wrapText="1"/>
    </xf>
    <xf numFmtId="9" fontId="17" fillId="16" borderId="0" xfId="1" applyFont="1" applyFill="1" applyBorder="1" applyAlignment="1">
      <alignment horizontal="right" vertical="center"/>
    </xf>
    <xf numFmtId="9" fontId="17" fillId="0" borderId="0" xfId="1" applyFont="1" applyFill="1" applyBorder="1" applyAlignment="1">
      <alignment horizontal="right" vertical="center"/>
    </xf>
    <xf numFmtId="0" fontId="54" fillId="12" borderId="6" xfId="7" applyFont="1" applyFill="1" applyBorder="1" applyAlignment="1">
      <alignment horizontal="left" vertical="center" wrapText="1"/>
    </xf>
    <xf numFmtId="9" fontId="54" fillId="12" borderId="7" xfId="1" applyFont="1" applyFill="1" applyBorder="1" applyAlignment="1">
      <alignment horizontal="right" vertical="center"/>
    </xf>
    <xf numFmtId="0" fontId="55" fillId="0" borderId="0" xfId="0" applyFont="1"/>
    <xf numFmtId="0" fontId="6" fillId="0" borderId="0" xfId="0" applyFont="1"/>
    <xf numFmtId="1" fontId="33" fillId="0" borderId="0" xfId="4" applyNumberFormat="1" applyFont="1" applyFill="1" applyBorder="1" applyAlignment="1">
      <alignment horizontal="right" vertical="center"/>
    </xf>
    <xf numFmtId="0" fontId="57" fillId="0" borderId="0" xfId="0" applyFont="1"/>
    <xf numFmtId="0" fontId="58" fillId="0" borderId="0" xfId="0" applyFont="1"/>
    <xf numFmtId="0" fontId="59" fillId="0" borderId="0" xfId="0" applyFont="1"/>
    <xf numFmtId="0" fontId="42" fillId="0" borderId="0" xfId="0" applyFont="1" applyAlignment="1">
      <alignment horizontal="center" vertical="center"/>
    </xf>
    <xf numFmtId="0" fontId="51" fillId="0" borderId="0" xfId="0" applyFont="1" applyAlignment="1">
      <alignment horizontal="left" vertical="center"/>
    </xf>
    <xf numFmtId="3" fontId="20" fillId="16" borderId="13" xfId="0" applyNumberFormat="1" applyFont="1" applyFill="1" applyBorder="1" applyAlignment="1">
      <alignment horizontal="center" vertical="center"/>
    </xf>
    <xf numFmtId="0" fontId="60" fillId="0" borderId="0" xfId="0" applyFont="1" applyAlignment="1">
      <alignment horizontal="center" vertical="center"/>
    </xf>
    <xf numFmtId="0" fontId="23" fillId="0" borderId="0" xfId="0" applyFont="1" applyAlignment="1">
      <alignment horizontal="right" vertical="center" wrapText="1"/>
    </xf>
    <xf numFmtId="169" fontId="23" fillId="0" borderId="0" xfId="0" applyNumberFormat="1" applyFont="1" applyAlignment="1">
      <alignment horizontal="left" vertical="center" indent="3"/>
    </xf>
    <xf numFmtId="170" fontId="53" fillId="0" borderId="0" xfId="0" applyNumberFormat="1" applyFont="1"/>
    <xf numFmtId="3" fontId="59" fillId="0" borderId="0" xfId="0" applyNumberFormat="1" applyFont="1"/>
    <xf numFmtId="1" fontId="59" fillId="0" borderId="0" xfId="0" applyNumberFormat="1" applyFont="1"/>
    <xf numFmtId="165" fontId="59" fillId="0" borderId="0" xfId="0" applyNumberFormat="1" applyFont="1"/>
    <xf numFmtId="0" fontId="42" fillId="0" borderId="0" xfId="0" applyFont="1" applyAlignment="1">
      <alignment horizontal="center"/>
    </xf>
    <xf numFmtId="2" fontId="33" fillId="0" borderId="18" xfId="8" applyNumberFormat="1" applyFont="1" applyFill="1" applyBorder="1">
      <alignment horizontal="center" vertical="center"/>
    </xf>
    <xf numFmtId="0" fontId="49" fillId="0" borderId="5" xfId="7" applyFont="1" applyBorder="1" applyAlignment="1">
      <alignment horizontal="left" vertical="center" wrapText="1"/>
    </xf>
    <xf numFmtId="3" fontId="58" fillId="0" borderId="0" xfId="0" applyNumberFormat="1" applyFont="1"/>
    <xf numFmtId="165" fontId="58" fillId="0" borderId="0" xfId="0" applyNumberFormat="1" applyFont="1"/>
    <xf numFmtId="1" fontId="57" fillId="0" borderId="0" xfId="0" applyNumberFormat="1" applyFont="1"/>
    <xf numFmtId="0" fontId="11" fillId="4" borderId="9" xfId="5" applyBorder="1">
      <alignment horizontal="center"/>
    </xf>
    <xf numFmtId="0" fontId="11" fillId="4" borderId="11" xfId="5" applyBorder="1">
      <alignment horizontal="center"/>
    </xf>
    <xf numFmtId="0" fontId="16" fillId="0" borderId="0" xfId="0" applyFont="1" applyAlignment="1">
      <alignment horizontal="center"/>
    </xf>
    <xf numFmtId="0" fontId="50" fillId="0" borderId="0" xfId="0" applyFont="1" applyAlignment="1">
      <alignment horizontal="center" vertical="center"/>
    </xf>
    <xf numFmtId="0" fontId="17" fillId="0" borderId="0" xfId="0" applyFont="1" applyAlignment="1">
      <alignment horizontal="center" vertical="center"/>
    </xf>
    <xf numFmtId="0" fontId="51" fillId="0" borderId="0" xfId="0" applyFont="1" applyAlignment="1">
      <alignment horizontal="left" vertical="center"/>
    </xf>
    <xf numFmtId="0" fontId="20" fillId="0" borderId="0" xfId="0" applyFont="1" applyAlignment="1">
      <alignment horizontal="left" vertical="top" wrapText="1" indent="3"/>
    </xf>
    <xf numFmtId="0" fontId="20" fillId="0" borderId="0" xfId="0" applyFont="1" applyAlignment="1">
      <alignment horizontal="right" vertical="center" wrapText="1"/>
    </xf>
    <xf numFmtId="3" fontId="20" fillId="0" borderId="0" xfId="0" applyNumberFormat="1" applyFont="1" applyAlignment="1">
      <alignment horizontal="left" vertical="center" indent="3"/>
    </xf>
    <xf numFmtId="0" fontId="20" fillId="0" borderId="0" xfId="0" applyFont="1" applyAlignment="1">
      <alignment horizontal="left" vertical="center" indent="3"/>
    </xf>
    <xf numFmtId="0" fontId="19" fillId="0" borderId="0" xfId="0" applyFont="1" applyAlignment="1">
      <alignment horizontal="center" vertical="center"/>
    </xf>
    <xf numFmtId="0" fontId="20" fillId="0" borderId="0" xfId="0" applyFont="1" applyAlignment="1">
      <alignment horizontal="left" vertical="center" wrapText="1"/>
    </xf>
    <xf numFmtId="0" fontId="20" fillId="2" borderId="13" xfId="0" applyFont="1" applyFill="1" applyBorder="1" applyAlignment="1">
      <alignment horizontal="center" vertical="center"/>
    </xf>
    <xf numFmtId="3" fontId="34" fillId="2" borderId="13" xfId="0" applyNumberFormat="1" applyFont="1" applyFill="1" applyBorder="1" applyAlignment="1">
      <alignment horizontal="center" vertical="center"/>
    </xf>
    <xf numFmtId="9" fontId="34" fillId="2" borderId="13" xfId="0" applyNumberFormat="1"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3" fillId="9" borderId="13" xfId="0" applyFont="1" applyFill="1" applyBorder="1" applyAlignment="1">
      <alignment horizontal="center" vertical="center"/>
    </xf>
    <xf numFmtId="3" fontId="23" fillId="9" borderId="13" xfId="0" applyNumberFormat="1" applyFont="1" applyFill="1" applyBorder="1" applyAlignment="1">
      <alignment horizontal="center" vertical="center"/>
    </xf>
    <xf numFmtId="3" fontId="20" fillId="2" borderId="13" xfId="0" applyNumberFormat="1" applyFont="1" applyFill="1" applyBorder="1" applyAlignment="1">
      <alignment horizontal="center" vertical="center"/>
    </xf>
    <xf numFmtId="3" fontId="20" fillId="16" borderId="13" xfId="0" applyNumberFormat="1" applyFont="1" applyFill="1" applyBorder="1" applyAlignment="1">
      <alignment horizontal="center" vertical="center"/>
    </xf>
    <xf numFmtId="0" fontId="29" fillId="0" borderId="0" xfId="0" applyFont="1" applyAlignment="1">
      <alignment horizontal="left" vertical="center" wrapText="1"/>
    </xf>
    <xf numFmtId="0" fontId="3" fillId="0" borderId="0" xfId="0" applyFont="1" applyAlignment="1">
      <alignment horizontal="center"/>
    </xf>
    <xf numFmtId="0" fontId="23" fillId="12" borderId="13" xfId="0" applyFont="1" applyFill="1" applyBorder="1" applyAlignment="1">
      <alignment horizontal="center" vertical="center" wrapText="1"/>
    </xf>
    <xf numFmtId="0" fontId="23" fillId="0" borderId="0" xfId="0" applyFont="1" applyAlignment="1">
      <alignment horizontal="center" vertical="center" wrapText="1"/>
    </xf>
    <xf numFmtId="0" fontId="42" fillId="0" borderId="0" xfId="0" applyFont="1" applyAlignment="1">
      <alignment horizontal="center" vertical="center"/>
    </xf>
    <xf numFmtId="0" fontId="23" fillId="12" borderId="13" xfId="0" applyFont="1" applyFill="1" applyBorder="1" applyAlignment="1">
      <alignment horizontal="center" vertical="center"/>
    </xf>
    <xf numFmtId="0" fontId="24" fillId="12" borderId="13" xfId="0" applyFont="1" applyFill="1" applyBorder="1" applyAlignment="1">
      <alignment horizontal="center" vertical="center" wrapText="1"/>
    </xf>
    <xf numFmtId="0" fontId="40" fillId="0" borderId="0" xfId="0" applyFont="1" applyAlignment="1">
      <alignment horizontal="center" vertical="center"/>
    </xf>
    <xf numFmtId="9" fontId="34" fillId="9" borderId="13" xfId="0" applyNumberFormat="1" applyFont="1" applyFill="1" applyBorder="1" applyAlignment="1">
      <alignment horizontal="center" vertical="center" wrapText="1"/>
    </xf>
    <xf numFmtId="0" fontId="28" fillId="0" borderId="0" xfId="0" applyFont="1" applyAlignment="1">
      <alignment horizontal="left" vertical="center" wrapText="1"/>
    </xf>
    <xf numFmtId="0" fontId="27" fillId="0" borderId="0" xfId="0" applyFont="1" applyAlignment="1">
      <alignment horizontal="left" vertical="center"/>
    </xf>
    <xf numFmtId="3" fontId="36" fillId="9" borderId="13" xfId="0" applyNumberFormat="1" applyFont="1" applyFill="1" applyBorder="1" applyAlignment="1">
      <alignment horizontal="center" vertical="center"/>
    </xf>
    <xf numFmtId="0" fontId="33" fillId="8" borderId="13" xfId="0" applyFont="1" applyFill="1" applyBorder="1" applyAlignment="1">
      <alignment horizontal="center" vertical="center" wrapText="1"/>
    </xf>
    <xf numFmtId="0" fontId="24" fillId="8" borderId="13" xfId="0" applyFont="1" applyFill="1" applyBorder="1" applyAlignment="1">
      <alignment horizontal="center" vertical="center"/>
    </xf>
    <xf numFmtId="0" fontId="35" fillId="0" borderId="14"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5" xfId="0" applyFont="1" applyBorder="1" applyAlignment="1">
      <alignment horizontal="center" vertical="center" wrapText="1"/>
    </xf>
    <xf numFmtId="9" fontId="24" fillId="16" borderId="13" xfId="1" applyFont="1" applyFill="1" applyBorder="1" applyAlignment="1">
      <alignment horizontal="center" vertical="center"/>
    </xf>
    <xf numFmtId="3" fontId="24" fillId="14" borderId="13" xfId="9" applyFont="1" applyFill="1" applyBorder="1">
      <alignment horizontal="center" vertical="center"/>
    </xf>
    <xf numFmtId="9" fontId="8" fillId="9" borderId="13" xfId="2" applyNumberFormat="1" applyFill="1" applyBorder="1" applyAlignment="1">
      <alignment horizontal="center" vertical="center"/>
    </xf>
    <xf numFmtId="9" fontId="33" fillId="16" borderId="13" xfId="1" applyFont="1" applyFill="1" applyBorder="1" applyAlignment="1">
      <alignment horizontal="center" vertical="center"/>
    </xf>
    <xf numFmtId="3" fontId="33" fillId="11" borderId="13" xfId="9" applyFont="1" applyFill="1" applyBorder="1">
      <alignment horizontal="center" vertical="center"/>
    </xf>
    <xf numFmtId="9" fontId="24" fillId="14" borderId="13" xfId="1" applyFont="1" applyFill="1" applyBorder="1" applyAlignment="1">
      <alignment horizontal="center" vertical="center"/>
    </xf>
    <xf numFmtId="9" fontId="56" fillId="9" borderId="13" xfId="2" applyNumberFormat="1" applyFont="1" applyFill="1" applyBorder="1" applyAlignment="1">
      <alignment horizontal="center" vertical="center"/>
    </xf>
    <xf numFmtId="0" fontId="38" fillId="0" borderId="0" xfId="0" applyFont="1" applyAlignment="1">
      <alignment horizontal="center" vertical="center" wrapText="1"/>
    </xf>
    <xf numFmtId="0" fontId="3" fillId="0" borderId="0" xfId="0" applyFont="1" applyAlignment="1">
      <alignment horizontal="center" vertical="center" wrapText="1"/>
    </xf>
    <xf numFmtId="0" fontId="20" fillId="0" borderId="13" xfId="0" applyFont="1" applyBorder="1" applyAlignment="1">
      <alignment horizontal="center"/>
    </xf>
    <xf numFmtId="0" fontId="24" fillId="8" borderId="13" xfId="0" applyFont="1" applyFill="1" applyBorder="1" applyAlignment="1">
      <alignment horizontal="center" vertical="center" wrapText="1"/>
    </xf>
    <xf numFmtId="0" fontId="22" fillId="0" borderId="0" xfId="0" applyFont="1" applyAlignment="1">
      <alignment horizontal="center" vertical="center" wrapText="1"/>
    </xf>
    <xf numFmtId="0" fontId="33" fillId="2" borderId="13" xfId="7" applyFont="1" applyFill="1" applyBorder="1">
      <alignment horizontal="center" vertical="center" wrapText="1"/>
    </xf>
    <xf numFmtId="0" fontId="23" fillId="2" borderId="14" xfId="0" applyFont="1" applyFill="1" applyBorder="1" applyAlignment="1">
      <alignment horizontal="center" vertical="center"/>
    </xf>
    <xf numFmtId="0" fontId="23" fillId="2" borderId="15" xfId="0" applyFont="1" applyFill="1" applyBorder="1" applyAlignment="1">
      <alignment horizontal="center" vertical="center"/>
    </xf>
    <xf numFmtId="9" fontId="33" fillId="16" borderId="14" xfId="1" applyFont="1" applyFill="1" applyBorder="1" applyAlignment="1">
      <alignment horizontal="center" vertical="center"/>
    </xf>
    <xf numFmtId="9" fontId="33" fillId="16" borderId="15" xfId="1" applyFont="1" applyFill="1" applyBorder="1" applyAlignment="1">
      <alignment horizontal="center" vertical="center"/>
    </xf>
    <xf numFmtId="0" fontId="39" fillId="0" borderId="0" xfId="0" applyFont="1" applyAlignment="1">
      <alignment horizontal="center"/>
    </xf>
    <xf numFmtId="9" fontId="33" fillId="11" borderId="13" xfId="1" applyFont="1" applyFill="1" applyBorder="1" applyAlignment="1">
      <alignment horizontal="center" vertical="center"/>
    </xf>
    <xf numFmtId="0" fontId="20" fillId="9" borderId="13" xfId="0" applyFont="1" applyFill="1" applyBorder="1" applyAlignment="1">
      <alignment horizontal="center" vertical="center"/>
    </xf>
    <xf numFmtId="0" fontId="35" fillId="0" borderId="14" xfId="0" applyFont="1" applyBorder="1" applyAlignment="1">
      <alignment horizontal="center" vertical="center"/>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23" fillId="10" borderId="13" xfId="0" applyFont="1" applyFill="1" applyBorder="1" applyAlignment="1">
      <alignment horizontal="center" vertical="center" wrapText="1"/>
    </xf>
    <xf numFmtId="0" fontId="23" fillId="10" borderId="13" xfId="0" applyFont="1" applyFill="1" applyBorder="1" applyAlignment="1">
      <alignment horizontal="center" vertical="center"/>
    </xf>
    <xf numFmtId="9" fontId="33" fillId="0" borderId="14" xfId="1" applyFont="1" applyFill="1" applyBorder="1" applyAlignment="1">
      <alignment horizontal="center" vertical="center"/>
    </xf>
    <xf numFmtId="9" fontId="33" fillId="0" borderId="15" xfId="1" applyFont="1" applyFill="1" applyBorder="1" applyAlignment="1">
      <alignment horizontal="center" vertical="center"/>
    </xf>
    <xf numFmtId="3" fontId="33" fillId="11" borderId="14" xfId="9" applyFont="1" applyFill="1" applyBorder="1">
      <alignment horizontal="center" vertical="center"/>
    </xf>
    <xf numFmtId="3" fontId="33" fillId="11" borderId="15" xfId="9" applyFont="1" applyFill="1" applyBorder="1">
      <alignment horizontal="center" vertical="center"/>
    </xf>
    <xf numFmtId="0" fontId="23" fillId="0" borderId="0" xfId="0" applyFont="1" applyAlignment="1">
      <alignment horizontal="right" vertical="center" wrapText="1"/>
    </xf>
    <xf numFmtId="0" fontId="20" fillId="0" borderId="0" xfId="0" applyFont="1" applyAlignment="1">
      <alignment horizontal="right" wrapText="1"/>
    </xf>
    <xf numFmtId="167" fontId="20" fillId="0" borderId="0" xfId="0" applyNumberFormat="1" applyFont="1" applyAlignment="1">
      <alignment horizontal="left" indent="3"/>
    </xf>
    <xf numFmtId="0" fontId="33" fillId="0" borderId="0" xfId="0" applyFont="1" applyAlignment="1">
      <alignment horizontal="right" vertical="center"/>
    </xf>
    <xf numFmtId="168" fontId="20" fillId="0" borderId="0" xfId="0" applyNumberFormat="1" applyFont="1" applyAlignment="1">
      <alignment horizontal="left" vertical="center" indent="3"/>
    </xf>
    <xf numFmtId="166" fontId="20" fillId="16" borderId="0" xfId="0" applyNumberFormat="1" applyFont="1" applyFill="1" applyAlignment="1">
      <alignment horizontal="left" vertical="center" indent="3"/>
    </xf>
    <xf numFmtId="170" fontId="61" fillId="0" borderId="0" xfId="0" applyNumberFormat="1" applyFont="1" applyAlignment="1">
      <alignment horizontal="left" vertical="center" indent="3"/>
    </xf>
    <xf numFmtId="171" fontId="61" fillId="0" borderId="0" xfId="0" applyNumberFormat="1" applyFont="1" applyAlignment="1">
      <alignment horizontal="left" vertical="center" indent="3"/>
    </xf>
    <xf numFmtId="0" fontId="33" fillId="0" borderId="0" xfId="0" applyFont="1" applyAlignment="1">
      <alignment horizontal="right" vertical="center" wrapText="1"/>
    </xf>
    <xf numFmtId="171" fontId="20" fillId="16" borderId="0" xfId="0" applyNumberFormat="1" applyFont="1" applyFill="1" applyAlignment="1">
      <alignment horizontal="left" vertical="center" indent="3"/>
    </xf>
    <xf numFmtId="0" fontId="20" fillId="0" borderId="6" xfId="7" applyFont="1" applyBorder="1">
      <alignment horizontal="center" vertical="center" wrapText="1"/>
    </xf>
    <xf numFmtId="0" fontId="20" fillId="0" borderId="7" xfId="7" applyFont="1" applyBorder="1">
      <alignment horizontal="center" vertical="center" wrapText="1"/>
    </xf>
    <xf numFmtId="0" fontId="20" fillId="0" borderId="5" xfId="7" applyFont="1" applyBorder="1">
      <alignment horizontal="center" vertical="center" wrapText="1"/>
    </xf>
    <xf numFmtId="0" fontId="20" fillId="0" borderId="0" xfId="7" applyFont="1">
      <alignment horizontal="center" vertical="center" wrapText="1"/>
    </xf>
    <xf numFmtId="0" fontId="46" fillId="4" borderId="9" xfId="5" applyFont="1" applyBorder="1" applyAlignment="1">
      <alignment horizontal="center" vertical="center"/>
    </xf>
    <xf numFmtId="0" fontId="46" fillId="4" borderId="10" xfId="5" applyFont="1" applyBorder="1" applyAlignment="1">
      <alignment horizontal="center" vertical="center"/>
    </xf>
    <xf numFmtId="0" fontId="46" fillId="4" borderId="11" xfId="5" applyFont="1" applyBorder="1" applyAlignment="1">
      <alignment horizontal="center" vertical="center"/>
    </xf>
    <xf numFmtId="0" fontId="20" fillId="0" borderId="5" xfId="0" applyFont="1" applyBorder="1" applyAlignment="1">
      <alignment horizontal="center" wrapText="1"/>
    </xf>
    <xf numFmtId="0" fontId="20" fillId="0" borderId="0" xfId="0" applyFont="1" applyAlignment="1">
      <alignment horizontal="center" wrapText="1"/>
    </xf>
    <xf numFmtId="49" fontId="9" fillId="18" borderId="0" xfId="3" applyFill="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47" fillId="15" borderId="0" xfId="0" applyFont="1" applyFill="1" applyAlignment="1">
      <alignment horizontal="center" vertical="center"/>
    </xf>
    <xf numFmtId="0" fontId="15" fillId="17" borderId="0" xfId="0" applyFont="1" applyFill="1" applyAlignment="1">
      <alignment horizontal="center" vertical="center"/>
    </xf>
    <xf numFmtId="3" fontId="49" fillId="0" borderId="0" xfId="9" applyFont="1" applyFill="1" applyBorder="1" applyAlignment="1">
      <alignment horizontal="right" vertical="center"/>
    </xf>
    <xf numFmtId="3" fontId="49" fillId="0" borderId="12" xfId="9" applyFont="1" applyFill="1" applyBorder="1" applyAlignment="1">
      <alignment horizontal="right" vertical="center"/>
    </xf>
    <xf numFmtId="0" fontId="33" fillId="0" borderId="6" xfId="7" applyFont="1" applyBorder="1" applyAlignment="1">
      <alignment horizontal="left" vertical="center" wrapText="1"/>
    </xf>
    <xf numFmtId="0" fontId="33" fillId="0" borderId="7" xfId="7" applyFont="1" applyBorder="1" applyAlignment="1">
      <alignment horizontal="left" vertical="center" wrapText="1"/>
    </xf>
    <xf numFmtId="0" fontId="33" fillId="0" borderId="5" xfId="0" applyFont="1" applyBorder="1" applyAlignment="1">
      <alignment vertical="center"/>
    </xf>
    <xf numFmtId="0" fontId="33" fillId="0" borderId="0" xfId="0" applyFont="1" applyAlignment="1">
      <alignment vertical="center"/>
    </xf>
    <xf numFmtId="0" fontId="33" fillId="0" borderId="5" xfId="7" applyFont="1" applyBorder="1" applyAlignment="1">
      <alignment vertical="center" wrapText="1"/>
    </xf>
    <xf numFmtId="0" fontId="33" fillId="0" borderId="0" xfId="7" applyFont="1" applyAlignment="1">
      <alignment vertical="center" wrapText="1"/>
    </xf>
    <xf numFmtId="0" fontId="33" fillId="0" borderId="6" xfId="7" applyFont="1" applyBorder="1" applyAlignment="1">
      <alignment vertical="center" wrapText="1"/>
    </xf>
    <xf numFmtId="0" fontId="33" fillId="0" borderId="7" xfId="7" applyFont="1" applyBorder="1" applyAlignment="1">
      <alignment vertical="center" wrapText="1"/>
    </xf>
    <xf numFmtId="0" fontId="20" fillId="0" borderId="5" xfId="7" applyFont="1" applyBorder="1" applyAlignment="1">
      <alignment horizontal="left" vertical="center" wrapText="1"/>
    </xf>
    <xf numFmtId="0" fontId="20" fillId="0" borderId="0" xfId="7" applyFont="1" applyAlignment="1">
      <alignment horizontal="left" vertical="center" wrapText="1"/>
    </xf>
    <xf numFmtId="0" fontId="33" fillId="0" borderId="5" xfId="7" applyFont="1" applyBorder="1" applyAlignment="1">
      <alignment horizontal="left" vertical="center" wrapText="1"/>
    </xf>
    <xf numFmtId="0" fontId="33" fillId="0" borderId="0" xfId="7" applyFont="1" applyAlignment="1">
      <alignment horizontal="left" vertical="center" wrapText="1"/>
    </xf>
    <xf numFmtId="0" fontId="24" fillId="0" borderId="5" xfId="7" applyFont="1" applyBorder="1" applyAlignment="1">
      <alignment horizontal="left" vertical="center" wrapText="1"/>
    </xf>
    <xf numFmtId="0" fontId="24" fillId="0" borderId="0" xfId="7" applyFont="1" applyAlignment="1">
      <alignment horizontal="left" vertical="center" wrapText="1"/>
    </xf>
    <xf numFmtId="0" fontId="33" fillId="0" borderId="5" xfId="0" applyFont="1" applyBorder="1" applyAlignment="1">
      <alignment horizontal="left" vertical="center"/>
    </xf>
    <xf numFmtId="0" fontId="33" fillId="0" borderId="0" xfId="0" applyFont="1" applyAlignment="1">
      <alignment horizontal="left" vertical="center"/>
    </xf>
    <xf numFmtId="0" fontId="23" fillId="0" borderId="5" xfId="7" applyFont="1" applyBorder="1" applyAlignment="1">
      <alignment horizontal="left" vertical="center" wrapText="1"/>
    </xf>
    <xf numFmtId="0" fontId="23" fillId="0" borderId="0" xfId="7" applyFont="1" applyAlignment="1">
      <alignment horizontal="left" vertical="center" wrapText="1"/>
    </xf>
    <xf numFmtId="0" fontId="20" fillId="0" borderId="6" xfId="7" applyFont="1" applyBorder="1" applyAlignment="1">
      <alignment horizontal="left" vertical="center" wrapText="1"/>
    </xf>
    <xf numFmtId="0" fontId="20" fillId="0" borderId="7" xfId="7" applyFont="1" applyBorder="1" applyAlignment="1">
      <alignment horizontal="left" vertical="center" wrapText="1"/>
    </xf>
  </cellXfs>
  <cellStyles count="13">
    <cellStyle name="Aspekt" xfId="5"/>
    <cellStyle name="Beschreibung" xfId="7"/>
    <cellStyle name="FESTWERT" xfId="8"/>
    <cellStyle name="FORMEL" xfId="9"/>
    <cellStyle name="GLIEDERUNG" xfId="3"/>
    <cellStyle name="Header" xfId="10"/>
    <cellStyle name="Link" xfId="2" builtinId="8"/>
    <cellStyle name="Prozent" xfId="1" builtinId="5"/>
    <cellStyle name="Prozent 2" xfId="12"/>
    <cellStyle name="Spalte" xfId="6"/>
    <cellStyle name="Standard" xfId="0" builtinId="0"/>
    <cellStyle name="Standard 2" xfId="11"/>
    <cellStyle name="Veränderbar" xfId="4"/>
  </cellStyles>
  <dxfs count="1">
    <dxf>
      <font>
        <b/>
        <i val="0"/>
        <color rgb="FFFF7575"/>
      </font>
    </dxf>
  </dxfs>
  <tableStyles count="0" defaultTableStyle="TableStyleMedium2" defaultPivotStyle="PivotStyleLight16"/>
  <colors>
    <mruColors>
      <color rgb="FFF7F7F7"/>
      <color rgb="FFFFB7B7"/>
      <color rgb="FFDEEFFA"/>
      <color rgb="FF9AC2E6"/>
      <color rgb="FFFF7575"/>
      <color rgb="FFEDD811"/>
      <color rgb="FFC7E949"/>
      <color rgb="FFF5C971"/>
      <color rgb="FFF8F16E"/>
      <color rgb="FF8BD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r>
              <a:rPr lang="de-DE" sz="1200" b="1" spc="200" baseline="0"/>
              <a:t>Entwicklung der Stromnachfrage nach Sektoren</a:t>
            </a:r>
          </a:p>
        </c:rich>
      </c:tx>
      <c:layout>
        <c:manualLayout>
          <c:xMode val="edge"/>
          <c:yMode val="edge"/>
          <c:x val="0.16693744163634311"/>
          <c:y val="2.78832710088949E-2"/>
        </c:manualLayout>
      </c:layout>
      <c:overlay val="0"/>
      <c:spPr>
        <a:noFill/>
        <a:ln>
          <a:noFill/>
        </a:ln>
        <a:effectLst/>
      </c:spPr>
      <c:txPr>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7774282084964774"/>
          <c:y val="0.1957204605234929"/>
          <c:w val="0.70393441974621729"/>
          <c:h val="0.69400250808166764"/>
        </c:manualLayout>
      </c:layout>
      <c:barChart>
        <c:barDir val="bar"/>
        <c:grouping val="stacked"/>
        <c:varyColors val="0"/>
        <c:ser>
          <c:idx val="0"/>
          <c:order val="0"/>
          <c:tx>
            <c:strRef>
              <c:f>Ausbauziel_Strom!$C$76</c:f>
              <c:strCache>
                <c:ptCount val="1"/>
                <c:pt idx="0">
                  <c:v>Private Haushalte</c:v>
                </c:pt>
              </c:strCache>
            </c:strRef>
          </c:tx>
          <c:spPr>
            <a:solidFill>
              <a:srgbClr val="FF7575"/>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Ausbauziel_Strom!$D$76:$E$76</c:f>
              <c:numCache>
                <c:formatCode>#,##0</c:formatCode>
                <c:ptCount val="2"/>
                <c:pt idx="0">
                  <c:v>7988.01</c:v>
                </c:pt>
                <c:pt idx="1">
                  <c:v>6646.1315239285386</c:v>
                </c:pt>
              </c:numCache>
            </c:numRef>
          </c:val>
          <c:extLst xmlns:c16r2="http://schemas.microsoft.com/office/drawing/2015/06/chart">
            <c:ext xmlns:c16="http://schemas.microsoft.com/office/drawing/2014/chart" uri="{C3380CC4-5D6E-409C-BE32-E72D297353CC}">
              <c16:uniqueId val="{00000002-FA99-4DE1-BF56-08049997BFF8}"/>
            </c:ext>
          </c:extLst>
        </c:ser>
        <c:ser>
          <c:idx val="1"/>
          <c:order val="1"/>
          <c:tx>
            <c:strRef>
              <c:f>Ausbauziel_Strom!$C$77</c:f>
              <c:strCache>
                <c:ptCount val="1"/>
                <c:pt idx="0">
                  <c:v>GHD / Industrie</c:v>
                </c:pt>
              </c:strCache>
            </c:strRef>
          </c:tx>
          <c:spPr>
            <a:solidFill>
              <a:schemeClr val="bg1">
                <a:lumMod val="75000"/>
              </a:schemeClr>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Ausbauziel_Strom!$D$77:$E$77</c:f>
              <c:numCache>
                <c:formatCode>#,##0</c:formatCode>
                <c:ptCount val="2"/>
                <c:pt idx="0">
                  <c:v>23058.16</c:v>
                </c:pt>
                <c:pt idx="1">
                  <c:v>30195.630544599302</c:v>
                </c:pt>
              </c:numCache>
            </c:numRef>
          </c:val>
          <c:extLst xmlns:c16r2="http://schemas.microsoft.com/office/drawing/2015/06/chart">
            <c:ext xmlns:c16="http://schemas.microsoft.com/office/drawing/2014/chart" uri="{C3380CC4-5D6E-409C-BE32-E72D297353CC}">
              <c16:uniqueId val="{00000000-A55A-4087-81E8-195EBD6B0FBC}"/>
            </c:ext>
          </c:extLst>
        </c:ser>
        <c:ser>
          <c:idx val="2"/>
          <c:order val="2"/>
          <c:tx>
            <c:strRef>
              <c:f>Ausbauziel_Strom!$C$78</c:f>
              <c:strCache>
                <c:ptCount val="1"/>
                <c:pt idx="0">
                  <c:v>Kommunale Einrichtungen</c:v>
                </c:pt>
              </c:strCache>
            </c:strRef>
          </c:tx>
          <c:spPr>
            <a:solidFill>
              <a:srgbClr val="8BD363"/>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Ausbauziel_Strom!$D$78:$E$78</c:f>
              <c:numCache>
                <c:formatCode>#,##0</c:formatCode>
                <c:ptCount val="2"/>
                <c:pt idx="0">
                  <c:v>690.78</c:v>
                </c:pt>
                <c:pt idx="1">
                  <c:v>479.8485644620377</c:v>
                </c:pt>
              </c:numCache>
            </c:numRef>
          </c:val>
          <c:extLst xmlns:c16r2="http://schemas.microsoft.com/office/drawing/2015/06/chart">
            <c:ext xmlns:c16="http://schemas.microsoft.com/office/drawing/2014/chart" uri="{C3380CC4-5D6E-409C-BE32-E72D297353CC}">
              <c16:uniqueId val="{00000001-A55A-4087-81E8-195EBD6B0FBC}"/>
            </c:ext>
          </c:extLst>
        </c:ser>
        <c:ser>
          <c:idx val="3"/>
          <c:order val="3"/>
          <c:tx>
            <c:strRef>
              <c:f>Ausbauziel_Strom!$C$79</c:f>
              <c:strCache>
                <c:ptCount val="1"/>
                <c:pt idx="0">
                  <c:v>Mobilität</c:v>
                </c:pt>
              </c:strCache>
            </c:strRef>
          </c:tx>
          <c:spPr>
            <a:solidFill>
              <a:srgbClr val="9AC2E6"/>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Ausbauziel_Strom!$D$79:$E$79</c:f>
              <c:numCache>
                <c:formatCode>#,##0</c:formatCode>
                <c:ptCount val="2"/>
                <c:pt idx="1">
                  <c:v>10175.59090909091</c:v>
                </c:pt>
              </c:numCache>
            </c:numRef>
          </c:val>
          <c:extLst xmlns:c16r2="http://schemas.microsoft.com/office/drawing/2015/06/chart">
            <c:ext xmlns:c16="http://schemas.microsoft.com/office/drawing/2014/chart" uri="{C3380CC4-5D6E-409C-BE32-E72D297353CC}">
              <c16:uniqueId val="{00000002-A55A-4087-81E8-195EBD6B0FBC}"/>
            </c:ext>
          </c:extLst>
        </c:ser>
        <c:ser>
          <c:idx val="4"/>
          <c:order val="4"/>
          <c:tx>
            <c:strRef>
              <c:f>Ausbauziel_Strom!$C$80</c:f>
              <c:strCache>
                <c:ptCount val="1"/>
                <c:pt idx="0">
                  <c:v>Power 2 Heat</c:v>
                </c:pt>
              </c:strCache>
            </c:strRef>
          </c:tx>
          <c:spPr>
            <a:pattFill prst="wdUpDiag">
              <a:fgClr>
                <a:srgbClr val="EFA081"/>
              </a:fgClr>
              <a:bgClr>
                <a:srgbClr val="E9E797"/>
              </a:bgClr>
            </a:patt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Ausbauziel_Strom!$D$80:$E$80</c:f>
              <c:numCache>
                <c:formatCode>#,##0</c:formatCode>
                <c:ptCount val="2"/>
                <c:pt idx="1">
                  <c:v>0</c:v>
                </c:pt>
              </c:numCache>
            </c:numRef>
          </c:val>
          <c:extLst xmlns:c16r2="http://schemas.microsoft.com/office/drawing/2015/06/chart">
            <c:ext xmlns:c16="http://schemas.microsoft.com/office/drawing/2014/chart" uri="{C3380CC4-5D6E-409C-BE32-E72D297353CC}">
              <c16:uniqueId val="{00000000-FE95-4C25-BDC0-205AB1EF5BC7}"/>
            </c:ext>
          </c:extLst>
        </c:ser>
        <c:dLbls>
          <c:dLblPos val="ctr"/>
          <c:showLegendKey val="0"/>
          <c:showVal val="1"/>
          <c:showCatName val="0"/>
          <c:showSerName val="0"/>
          <c:showPercent val="0"/>
          <c:showBubbleSize val="0"/>
        </c:dLbls>
        <c:gapWidth val="150"/>
        <c:overlap val="100"/>
        <c:axId val="545701792"/>
        <c:axId val="545707280"/>
      </c:barChart>
      <c:catAx>
        <c:axId val="545701792"/>
        <c:scaling>
          <c:orientation val="minMax"/>
        </c:scaling>
        <c:delete val="0"/>
        <c:axPos val="l"/>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545707280"/>
        <c:crosses val="autoZero"/>
        <c:auto val="1"/>
        <c:lblAlgn val="ctr"/>
        <c:lblOffset val="100"/>
        <c:noMultiLvlLbl val="0"/>
      </c:catAx>
      <c:valAx>
        <c:axId val="545707280"/>
        <c:scaling>
          <c:orientation val="minMax"/>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de-DE" sz="1000" b="1"/>
                  <a:t>Stromnachfrage </a:t>
                </a:r>
              </a:p>
              <a:p>
                <a:pPr>
                  <a:defRPr sz="1000" b="1"/>
                </a:pPr>
                <a:r>
                  <a:rPr lang="de-DE" sz="1000" b="1"/>
                  <a:t>in MWh/a</a:t>
                </a:r>
              </a:p>
            </c:rich>
          </c:tx>
          <c:layout>
            <c:manualLayout>
              <c:xMode val="edge"/>
              <c:yMode val="edge"/>
              <c:x val="1.3281615063397386E-2"/>
              <c:y val="0.454287490203497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title>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545701792"/>
        <c:crosses val="autoZero"/>
        <c:crossBetween val="between"/>
      </c:valAx>
      <c:spPr>
        <a:noFill/>
        <a:ln>
          <a:noFill/>
        </a:ln>
        <a:effectLst/>
      </c:spPr>
    </c:plotArea>
    <c:legend>
      <c:legendPos val="t"/>
      <c:layout/>
      <c:overlay val="0"/>
      <c:spPr>
        <a:solidFill>
          <a:srgbClr val="F7F7F7"/>
        </a:solidFill>
        <a:ln w="12700" cap="flat" cmpd="sng" algn="ctr">
          <a:noFill/>
          <a:prstDash val="solid"/>
          <a:miter lim="800000"/>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rgbClr val="F7F7F7"/>
    </a:solidFill>
    <a:ln w="3175" cap="flat" cmpd="sng" algn="ctr">
      <a:noFill/>
      <a:round/>
    </a:ln>
    <a:effectLst/>
  </c:spPr>
  <c:txPr>
    <a:bodyPr/>
    <a:lstStyle/>
    <a:p>
      <a:pPr>
        <a:defRPr lang="en-US"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printSettings>
    <c:headerFooter>
      <c:oddFooter>&amp;Z&amp;"Trebuchet MS,Standard"&amp;16Seite &amp;S</c:oddFooter>
    </c:headerFooter>
    <c:pageMargins b="0.78740157499999996" l="0.7" r="0.7" t="0.78740157499999996"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200" spc="200" baseline="0"/>
            </a:pPr>
            <a:r>
              <a:rPr lang="de-DE" sz="1200" spc="200" baseline="0"/>
              <a:t>Jährliche Stromproduktion nach Erzeuger</a:t>
            </a:r>
          </a:p>
        </c:rich>
      </c:tx>
      <c:layout/>
      <c:overlay val="0"/>
      <c:spPr>
        <a:noFill/>
        <a:ln>
          <a:noFill/>
        </a:ln>
        <a:effectLst/>
      </c:spPr>
    </c:title>
    <c:autoTitleDeleted val="0"/>
    <c:plotArea>
      <c:layout>
        <c:manualLayout>
          <c:layoutTarget val="inner"/>
          <c:xMode val="edge"/>
          <c:yMode val="edge"/>
          <c:x val="0.19832612924995369"/>
          <c:y val="0.10593796301776484"/>
          <c:w val="0.70989666755707825"/>
          <c:h val="0.59619034803178605"/>
        </c:manualLayout>
      </c:layout>
      <c:barChart>
        <c:barDir val="bar"/>
        <c:grouping val="stacked"/>
        <c:varyColors val="0"/>
        <c:ser>
          <c:idx val="0"/>
          <c:order val="0"/>
          <c:tx>
            <c:strRef>
              <c:f>Ausbauziel_Strom!$G$77</c:f>
              <c:strCache>
                <c:ptCount val="1"/>
                <c:pt idx="0">
                  <c:v>Erneuerbare allgemein</c:v>
                </c:pt>
              </c:strCache>
            </c:strRef>
          </c:tx>
          <c:spPr>
            <a:solidFill>
              <a:srgbClr val="85BC28"/>
            </a:solidFill>
            <a:ln>
              <a:solidFill>
                <a:schemeClr val="bg1">
                  <a:lumMod val="95000"/>
                </a:schemeClr>
              </a:solidFill>
            </a:ln>
          </c:spPr>
          <c:invertIfNegative val="0"/>
          <c:dLbls>
            <c:dLbl>
              <c:idx val="0"/>
              <c:layout>
                <c:manualLayout>
                  <c:x val="-2.9984842898016176E-3"/>
                  <c:y val="9.9510606674262453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8BC-48FE-83D1-6717E96889E2}"/>
                </c:ext>
                <c:ext xmlns:c15="http://schemas.microsoft.com/office/drawing/2012/chart" uri="{CE6537A1-D6FC-4f65-9D91-7224C49458BB}">
                  <c15:layout/>
                </c:ext>
              </c:extLst>
            </c:dLbl>
            <c:dLbl>
              <c:idx val="1"/>
              <c:layout>
                <c:manualLayout>
                  <c:x val="-2.9984842898016176E-3"/>
                  <c:y val="0.10637340713455649"/>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8BC-48FE-83D1-6717E96889E2}"/>
                </c:ext>
                <c:ext xmlns:c15="http://schemas.microsoft.com/office/drawing/2012/chart" uri="{CE6537A1-D6FC-4f65-9D91-7224C49458BB}">
                  <c15:layout/>
                </c:ext>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Ausbauziel_Strom!$H$77:$I$77</c:f>
              <c:numCache>
                <c:formatCode>#,##0</c:formatCode>
                <c:ptCount val="2"/>
                <c:pt idx="0">
                  <c:v>2202</c:v>
                </c:pt>
                <c:pt idx="1">
                  <c:v>0</c:v>
                </c:pt>
              </c:numCache>
            </c:numRef>
          </c:val>
          <c:extLst xmlns:c16r2="http://schemas.microsoft.com/office/drawing/2015/06/chart">
            <c:ext xmlns:c16="http://schemas.microsoft.com/office/drawing/2014/chart" uri="{C3380CC4-5D6E-409C-BE32-E72D297353CC}">
              <c16:uniqueId val="{00000000-016A-403D-8CA0-60B8D7D9D04E}"/>
            </c:ext>
          </c:extLst>
        </c:ser>
        <c:ser>
          <c:idx val="2"/>
          <c:order val="1"/>
          <c:tx>
            <c:strRef>
              <c:f>Ausbauziel_Strom!$G$79</c:f>
              <c:strCache>
                <c:ptCount val="1"/>
                <c:pt idx="0">
                  <c:v>Zubau Windenergie</c:v>
                </c:pt>
              </c:strCache>
            </c:strRef>
          </c:tx>
          <c:spPr>
            <a:solidFill>
              <a:srgbClr val="9AC2E6"/>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3-58BC-48FE-83D1-6717E96889E2}"/>
                </c:ext>
                <c:ext xmlns:c15="http://schemas.microsoft.com/office/drawing/2012/chart" uri="{CE6537A1-D6FC-4f65-9D91-7224C49458BB}"/>
              </c:extLst>
            </c:dLbl>
            <c:dLbl>
              <c:idx val="1"/>
              <c:layout>
                <c:manualLayout>
                  <c:x val="-4.4977264347024265E-3"/>
                  <c:y val="0.1029420069044095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8BC-48FE-83D1-6717E96889E2}"/>
                </c:ext>
                <c:ext xmlns:c15="http://schemas.microsoft.com/office/drawing/2012/chart" uri="{CE6537A1-D6FC-4f65-9D91-7224C49458BB}"/>
              </c:extLst>
            </c:dLbl>
            <c:numFmt formatCode="#,###" sourceLinked="0"/>
            <c:spPr>
              <a:noFill/>
              <a:ln>
                <a:noFill/>
              </a:ln>
              <a:effectLst/>
            </c:spPr>
            <c:txPr>
              <a:bodyPr rot="0" vert="horz"/>
              <a:lstStyle/>
              <a:p>
                <a:pPr algn="ctr" rtl="0">
                  <a:defRPr sz="800"/>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Ausbauziel_Strom!$H$79:$I$79</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016A-403D-8CA0-60B8D7D9D04E}"/>
            </c:ext>
          </c:extLst>
        </c:ser>
        <c:ser>
          <c:idx val="3"/>
          <c:order val="2"/>
          <c:tx>
            <c:strRef>
              <c:f>Ausbauziel_Strom!$G$80</c:f>
              <c:strCache>
                <c:ptCount val="1"/>
                <c:pt idx="0">
                  <c:v>Zubau PV-Dachfläche</c:v>
                </c:pt>
              </c:strCache>
            </c:strRef>
          </c:tx>
          <c:spPr>
            <a:solidFill>
              <a:srgbClr val="F8F16E"/>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A-58BC-48FE-83D1-6717E96889E2}"/>
                </c:ext>
                <c:ext xmlns:c15="http://schemas.microsoft.com/office/drawing/2012/chart" uri="{CE6537A1-D6FC-4f65-9D91-7224C49458BB}"/>
              </c:extLst>
            </c:dLbl>
            <c:dLbl>
              <c:idx val="1"/>
              <c:layout>
                <c:manualLayout>
                  <c:x val="4.7260024108253876E-3"/>
                  <c:y val="0.1106581416523042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Ausbauziel_Strom!$H$80:$I$80</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3-016A-403D-8CA0-60B8D7D9D04E}"/>
            </c:ext>
          </c:extLst>
        </c:ser>
        <c:ser>
          <c:idx val="4"/>
          <c:order val="3"/>
          <c:tx>
            <c:strRef>
              <c:f>Ausbauziel_Strom!$G$81</c:f>
              <c:strCache>
                <c:ptCount val="1"/>
                <c:pt idx="0">
                  <c:v>Zubau PV-Freifläche (EEG)</c:v>
                </c:pt>
              </c:strCache>
            </c:strRef>
          </c:tx>
          <c:spPr>
            <a:solidFill>
              <a:srgbClr val="EDD811"/>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E-58BC-48FE-83D1-6717E96889E2}"/>
                </c:ext>
                <c:ext xmlns:c15="http://schemas.microsoft.com/office/drawing/2012/chart" uri="{CE6537A1-D6FC-4f65-9D91-7224C49458BB}"/>
              </c:extLst>
            </c:dLbl>
            <c:dLbl>
              <c:idx val="1"/>
              <c:layout>
                <c:manualLayout>
                  <c:x val="4.2310064552476918E-3"/>
                  <c:y val="0.1106582207268124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Ausbauziel_Strom!$H$81:$I$81</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4-016A-403D-8CA0-60B8D7D9D04E}"/>
            </c:ext>
          </c:extLst>
        </c:ser>
        <c:ser>
          <c:idx val="5"/>
          <c:order val="4"/>
          <c:tx>
            <c:strRef>
              <c:f>Ausbauziel_Strom!$G$82</c:f>
              <c:strCache>
                <c:ptCount val="1"/>
                <c:pt idx="0">
                  <c:v>Zubau Agri-PV</c:v>
                </c:pt>
              </c:strCache>
            </c:strRef>
          </c:tx>
          <c:spPr>
            <a:solidFill>
              <a:srgbClr val="C7E949"/>
            </a:solidFill>
            <a:ln w="9525">
              <a:solidFill>
                <a:schemeClr val="bg1">
                  <a:lumMod val="95000"/>
                </a:schemeClr>
              </a:solidFill>
            </a:ln>
          </c:spPr>
          <c:invertIfNegative val="0"/>
          <c:dLbls>
            <c:dLbl>
              <c:idx val="0"/>
              <c:delete val="1"/>
              <c:extLst xmlns:c16r2="http://schemas.microsoft.com/office/drawing/2015/06/chart">
                <c:ext xmlns:c16="http://schemas.microsoft.com/office/drawing/2014/chart" uri="{C3380CC4-5D6E-409C-BE32-E72D297353CC}">
                  <c16:uniqueId val="{00000004-58BC-48FE-83D1-6717E96889E2}"/>
                </c:ext>
                <c:ext xmlns:c15="http://schemas.microsoft.com/office/drawing/2012/chart" uri="{CE6537A1-D6FC-4f65-9D91-7224C49458BB}"/>
              </c:extLst>
            </c:dLbl>
            <c:dLbl>
              <c:idx val="1"/>
              <c:layout>
                <c:manualLayout>
                  <c:x val="2.9667278236501109E-2"/>
                  <c:y val="0.1046486703595113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rgbClr val="A6A6A6"/>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Ausbauziel_Strom!$H$82:$I$82</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5-016A-403D-8CA0-60B8D7D9D04E}"/>
            </c:ext>
          </c:extLst>
        </c:ser>
        <c:ser>
          <c:idx val="1"/>
          <c:order val="5"/>
          <c:tx>
            <c:strRef>
              <c:f>Ausbauziel_Strom!$G$78</c:f>
              <c:strCache>
                <c:ptCount val="1"/>
                <c:pt idx="0">
                  <c:v>Nicht aus lokalen EE gedeckter Strombedarf</c:v>
                </c:pt>
              </c:strCache>
            </c:strRef>
          </c:tx>
          <c:spPr>
            <a:pattFill prst="wdUpDiag">
              <a:fgClr>
                <a:srgbClr val="9AC2E6"/>
              </a:fgClr>
              <a:bgClr>
                <a:schemeClr val="bg1">
                  <a:lumMod val="85000"/>
                </a:schemeClr>
              </a:bgClr>
            </a:pattFill>
            <a:ln>
              <a:solidFill>
                <a:schemeClr val="bg1">
                  <a:lumMod val="95000"/>
                </a:schemeClr>
              </a:solidFill>
            </a:ln>
          </c:spPr>
          <c:invertIfNegative val="0"/>
          <c:dLbls>
            <c:dLbl>
              <c:idx val="0"/>
              <c:layout>
                <c:manualLayout>
                  <c:x val="-5.7936449645241885E-3"/>
                  <c:y val="9.894188138306152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65D-4D9D-A85A-46EBBA1BED0A}"/>
                </c:ext>
                <c:ext xmlns:c15="http://schemas.microsoft.com/office/drawing/2012/chart" uri="{CE6537A1-D6FC-4f65-9D91-7224C49458BB}">
                  <c15:layout/>
                </c:ext>
              </c:extLst>
            </c:dLbl>
            <c:dLbl>
              <c:idx val="1"/>
              <c:layout>
                <c:manualLayout>
                  <c:x val="-1.9312149881747297E-3"/>
                  <c:y val="0.108896864284781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DB6-48D6-A872-19A8B07065C4}"/>
                </c:ext>
                <c:ext xmlns:c15="http://schemas.microsoft.com/office/drawing/2012/chart" uri="{CE6537A1-D6FC-4f65-9D91-7224C49458BB}">
                  <c15:layout/>
                </c:ext>
              </c:extLst>
            </c:dLbl>
            <c:numFmt formatCode="#,###" sourceLinked="0"/>
            <c:spPr>
              <a:noFill/>
              <a:ln>
                <a:noFill/>
              </a:ln>
              <a:effectLst/>
            </c:spPr>
            <c:txPr>
              <a:bodyPr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rgbClr val="A6A6A6"/>
                      </a:solidFill>
                    </a:ln>
                  </c:spPr>
                </c15:leaderLines>
              </c:ext>
            </c:extLst>
          </c:dLbls>
          <c:cat>
            <c:numRef>
              <c:f>(Ausbauziel_Strom!$H$75,Ausbauziel_Strom!$I$75)</c:f>
              <c:numCache>
                <c:formatCode>General</c:formatCode>
                <c:ptCount val="2"/>
                <c:pt idx="0" formatCode="0">
                  <c:v>2018</c:v>
                </c:pt>
                <c:pt idx="1">
                  <c:v>2035</c:v>
                </c:pt>
              </c:numCache>
            </c:numRef>
          </c:cat>
          <c:val>
            <c:numRef>
              <c:f>Ausbauziel_Strom!$H$78:$I$78</c:f>
              <c:numCache>
                <c:formatCode>#,##0</c:formatCode>
                <c:ptCount val="2"/>
                <c:pt idx="0">
                  <c:v>29576.09</c:v>
                </c:pt>
                <c:pt idx="1">
                  <c:v>47497.201542080787</c:v>
                </c:pt>
              </c:numCache>
            </c:numRef>
          </c:val>
          <c:extLst xmlns:c16r2="http://schemas.microsoft.com/office/drawing/2015/06/chart">
            <c:ext xmlns:c16="http://schemas.microsoft.com/office/drawing/2014/chart" uri="{C3380CC4-5D6E-409C-BE32-E72D297353CC}">
              <c16:uniqueId val="{00000008-44E0-45EC-8604-552E1548C395}"/>
            </c:ext>
          </c:extLst>
        </c:ser>
        <c:dLbls>
          <c:showLegendKey val="0"/>
          <c:showVal val="0"/>
          <c:showCatName val="0"/>
          <c:showSerName val="0"/>
          <c:showPercent val="0"/>
          <c:showBubbleSize val="0"/>
        </c:dLbls>
        <c:gapWidth val="150"/>
        <c:overlap val="100"/>
        <c:axId val="545700616"/>
        <c:axId val="545703752"/>
      </c:barChart>
      <c:scatterChart>
        <c:scatterStyle val="lineMarker"/>
        <c:varyColors val="0"/>
        <c:ser>
          <c:idx val="7"/>
          <c:order val="6"/>
          <c:tx>
            <c:strRef>
              <c:f>Ausbauziel_Strom!$C$82</c:f>
              <c:strCache>
                <c:ptCount val="1"/>
                <c:pt idx="0">
                  <c:v>Stromnachfrage</c:v>
                </c:pt>
              </c:strCache>
            </c:strRef>
          </c:tx>
          <c:spPr>
            <a:ln w="19050">
              <a:noFill/>
            </a:ln>
          </c:spPr>
          <c:marker>
            <c:symbol val="diamond"/>
            <c:size val="20"/>
            <c:spPr>
              <a:solidFill>
                <a:srgbClr val="0070C0">
                  <a:alpha val="64000"/>
                </a:srgbClr>
              </a:solidFill>
              <a:ln>
                <a:solidFill>
                  <a:srgbClr val="0045D0"/>
                </a:solidFill>
              </a:ln>
            </c:spPr>
          </c:marker>
          <c:dLbls>
            <c:dLbl>
              <c:idx val="0"/>
              <c:layout>
                <c:manualLayout>
                  <c:x val="-5.1808567630008406E-2"/>
                  <c:y val="-9.7969703869760741E-2"/>
                </c:manualLayout>
              </c:layout>
              <c:dLblPos val="r"/>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1-58BC-48FE-83D1-6717E96889E2}"/>
                </c:ext>
                <c:ext xmlns:c15="http://schemas.microsoft.com/office/drawing/2012/chart" uri="{CE6537A1-D6FC-4f65-9D91-7224C49458BB}">
                  <c15:layout/>
                </c:ext>
              </c:extLst>
            </c:dLbl>
            <c:dLbl>
              <c:idx val="1"/>
              <c:layout>
                <c:manualLayout>
                  <c:x val="-5.8166826866272184E-2"/>
                  <c:y val="-0.10577667854083921"/>
                </c:manualLayout>
              </c:layout>
              <c:dLblPos val="r"/>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5-58BC-48FE-83D1-6717E96889E2}"/>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800">
                    <a:solidFill>
                      <a:srgbClr val="0070C0"/>
                    </a:solidFill>
                  </a:defRPr>
                </a:pPr>
                <a:endParaRPr lang="de-DE"/>
              </a:p>
            </c:txPr>
            <c:dLblPos val="t"/>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rgbClr val="0070C0"/>
                      </a:solidFill>
                      <a:round/>
                    </a:ln>
                    <a:effectLst/>
                  </c:spPr>
                </c15:leaderLines>
              </c:ext>
            </c:extLst>
          </c:dLbls>
          <c:xVal>
            <c:numRef>
              <c:f>Ausbauziel_Strom!$D$82:$E$82</c:f>
              <c:numCache>
                <c:formatCode>#,##0</c:formatCode>
                <c:ptCount val="2"/>
                <c:pt idx="0">
                  <c:v>31778.09</c:v>
                </c:pt>
                <c:pt idx="1">
                  <c:v>47497.201542080787</c:v>
                </c:pt>
              </c:numCache>
            </c:numRef>
          </c:xVal>
          <c:yVal>
            <c:numRef>
              <c:f>Ausbauziel_Strom!$H$84:$I$84</c:f>
              <c:numCache>
                <c:formatCode>General</c:formatCode>
                <c:ptCount val="2"/>
                <c:pt idx="0">
                  <c:v>2018.5</c:v>
                </c:pt>
                <c:pt idx="1">
                  <c:v>2035.5</c:v>
                </c:pt>
              </c:numCache>
            </c:numRef>
          </c:yVal>
          <c:smooth val="0"/>
          <c:extLst xmlns:c16r2="http://schemas.microsoft.com/office/drawing/2015/06/chart">
            <c:ext xmlns:c16="http://schemas.microsoft.com/office/drawing/2014/chart" uri="{C3380CC4-5D6E-409C-BE32-E72D297353CC}">
              <c16:uniqueId val="{00000007-016A-403D-8CA0-60B8D7D9D04E}"/>
            </c:ext>
          </c:extLst>
        </c:ser>
        <c:dLbls>
          <c:showLegendKey val="0"/>
          <c:showVal val="0"/>
          <c:showCatName val="0"/>
          <c:showSerName val="0"/>
          <c:showPercent val="0"/>
          <c:showBubbleSize val="0"/>
        </c:dLbls>
        <c:axId val="545704144"/>
        <c:axId val="545696696"/>
      </c:scatterChart>
      <c:valAx>
        <c:axId val="545704144"/>
        <c:scaling>
          <c:orientation val="minMax"/>
        </c:scaling>
        <c:delete val="1"/>
        <c:axPos val="t"/>
        <c:numFmt formatCode="#,##0" sourceLinked="1"/>
        <c:majorTickMark val="out"/>
        <c:minorTickMark val="none"/>
        <c:tickLblPos val="nextTo"/>
        <c:crossAx val="545696696"/>
        <c:crosses val="max"/>
        <c:crossBetween val="midCat"/>
      </c:valAx>
      <c:valAx>
        <c:axId val="545696696"/>
        <c:scaling>
          <c:orientation val="minMax"/>
          <c:max val="2044"/>
          <c:min val="2010"/>
        </c:scaling>
        <c:delete val="1"/>
        <c:axPos val="l"/>
        <c:title>
          <c:tx>
            <c:rich>
              <a:bodyPr rot="0" vert="horz"/>
              <a:lstStyle/>
              <a:p>
                <a:pPr algn="ctr" rtl="0">
                  <a:defRPr sz="1000"/>
                </a:pPr>
                <a:r>
                  <a:rPr lang="en-US" sz="1000"/>
                  <a:t>Stromproduktion</a:t>
                </a:r>
                <a:br>
                  <a:rPr lang="en-US" sz="1000"/>
                </a:br>
                <a:r>
                  <a:rPr lang="en-US" sz="1000"/>
                  <a:t> in MWh/a</a:t>
                </a:r>
              </a:p>
            </c:rich>
          </c:tx>
          <c:layout>
            <c:manualLayout>
              <c:xMode val="edge"/>
              <c:yMode val="edge"/>
              <c:x val="4.9618962261329287E-3"/>
              <c:y val="0.33937833276655188"/>
            </c:manualLayout>
          </c:layout>
          <c:overlay val="0"/>
          <c:spPr>
            <a:noFill/>
            <a:ln>
              <a:noFill/>
            </a:ln>
            <a:effectLst/>
          </c:spPr>
        </c:title>
        <c:numFmt formatCode="#,##0" sourceLinked="0"/>
        <c:majorTickMark val="out"/>
        <c:minorTickMark val="none"/>
        <c:tickLblPos val="nextTo"/>
        <c:crossAx val="545704144"/>
        <c:crosses val="autoZero"/>
        <c:crossBetween val="midCat"/>
      </c:valAx>
      <c:valAx>
        <c:axId val="545703752"/>
        <c:scaling>
          <c:orientation val="minMax"/>
        </c:scaling>
        <c:delete val="0"/>
        <c:axPos val="b"/>
        <c:numFmt formatCode="#,###" sourceLinked="0"/>
        <c:majorTickMark val="out"/>
        <c:minorTickMark val="none"/>
        <c:tickLblPos val="nextTo"/>
        <c:txPr>
          <a:bodyPr/>
          <a:lstStyle/>
          <a:p>
            <a:pPr algn="ctr">
              <a:defRPr sz="800"/>
            </a:pPr>
            <a:endParaRPr lang="de-DE"/>
          </a:p>
        </c:txPr>
        <c:crossAx val="545700616"/>
        <c:crosses val="autoZero"/>
        <c:crossBetween val="between"/>
      </c:valAx>
      <c:catAx>
        <c:axId val="545700616"/>
        <c:scaling>
          <c:orientation val="minMax"/>
        </c:scaling>
        <c:delete val="0"/>
        <c:axPos val="r"/>
        <c:numFmt formatCode="0" sourceLinked="1"/>
        <c:majorTickMark val="out"/>
        <c:minorTickMark val="none"/>
        <c:tickLblPos val="nextTo"/>
        <c:spPr>
          <a:ln>
            <a:noFill/>
          </a:ln>
        </c:spPr>
        <c:txPr>
          <a:bodyPr/>
          <a:lstStyle/>
          <a:p>
            <a:pPr algn="ctr" rtl="0">
              <a:defRPr lang="en-US"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45703752"/>
        <c:crosses val="max"/>
        <c:auto val="1"/>
        <c:lblAlgn val="ctr"/>
        <c:lblOffset val="100"/>
        <c:noMultiLvlLbl val="0"/>
      </c:catAx>
      <c:spPr>
        <a:noFill/>
        <a:ln>
          <a:noFill/>
        </a:ln>
        <a:effectLst/>
      </c:spPr>
    </c:plotArea>
    <c:legend>
      <c:legendPos val="b"/>
      <c:legendEntry>
        <c:idx val="5"/>
        <c:delete val="1"/>
      </c:legendEntry>
      <c:legendEntry>
        <c:idx val="6"/>
        <c:txPr>
          <a:bodyPr rot="0" vert="horz"/>
          <a:lstStyle/>
          <a:p>
            <a:pPr>
              <a:defRPr sz="1000">
                <a:solidFill>
                  <a:srgbClr val="0070C0"/>
                </a:solidFill>
              </a:defRPr>
            </a:pPr>
            <a:endParaRPr lang="de-DE"/>
          </a:p>
        </c:txPr>
      </c:legendEntry>
      <c:layout>
        <c:manualLayout>
          <c:xMode val="edge"/>
          <c:yMode val="edge"/>
          <c:x val="6.8494568137898448E-2"/>
          <c:y val="0.80137886639763711"/>
          <c:w val="0.90067782936896668"/>
          <c:h val="0.16391922481392954"/>
        </c:manualLayout>
      </c:layout>
      <c:overlay val="0"/>
      <c:spPr>
        <a:noFill/>
        <a:ln>
          <a:noFill/>
        </a:ln>
        <a:effectLst/>
      </c:spPr>
      <c:txPr>
        <a:bodyPr rot="0" vert="horz"/>
        <a:lstStyle/>
        <a:p>
          <a:pPr>
            <a:defRPr sz="1000"/>
          </a:pPr>
          <a:endParaRPr lang="de-DE"/>
        </a:p>
      </c:txPr>
    </c:legend>
    <c:plotVisOnly val="1"/>
    <c:dispBlanksAs val="gap"/>
    <c:showDLblsOverMax val="0"/>
    <c:extLst xmlns:c16r2="http://schemas.microsoft.com/office/drawing/2015/06/chart"/>
  </c:chart>
  <c:spPr>
    <a:solidFill>
      <a:srgbClr val="F7F7F7"/>
    </a:solidFill>
    <a:ln w="317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r>
              <a:rPr lang="de-DE" sz="1200" b="1" spc="200" baseline="0"/>
              <a:t>Entwicklung der Wärmenachfrage nach Sektoren</a:t>
            </a:r>
          </a:p>
        </c:rich>
      </c:tx>
      <c:layout>
        <c:manualLayout>
          <c:xMode val="edge"/>
          <c:yMode val="edge"/>
          <c:x val="0.16511040247501466"/>
          <c:y val="4.3305590978715523E-2"/>
        </c:manualLayout>
      </c:layout>
      <c:overlay val="0"/>
      <c:spPr>
        <a:noFill/>
        <a:ln>
          <a:noFill/>
        </a:ln>
        <a:effectLst/>
      </c:spPr>
      <c:txPr>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9678420667399454"/>
          <c:y val="0.20605658920832415"/>
          <c:w val="0.70393441974621729"/>
          <c:h val="0.69400250808166764"/>
        </c:manualLayout>
      </c:layout>
      <c:barChart>
        <c:barDir val="bar"/>
        <c:grouping val="stacked"/>
        <c:varyColors val="0"/>
        <c:ser>
          <c:idx val="0"/>
          <c:order val="0"/>
          <c:tx>
            <c:strRef>
              <c:f>Ausbauziel_Wärme!$C$78</c:f>
              <c:strCache>
                <c:ptCount val="1"/>
                <c:pt idx="0">
                  <c:v>Private Haushalte</c:v>
                </c:pt>
              </c:strCache>
            </c:strRef>
          </c:tx>
          <c:spPr>
            <a:solidFill>
              <a:srgbClr val="FF7575"/>
            </a:solidFill>
            <a:ln>
              <a:solidFill>
                <a:schemeClr val="bg1"/>
              </a:solidFill>
            </a:ln>
            <a:effectLst/>
          </c:spPr>
          <c:invertIfNegative val="0"/>
          <c:dLbls>
            <c:spPr>
              <a:noFill/>
              <a:ln>
                <a:noFill/>
              </a:ln>
              <a:effectLst>
                <a:glow rad="127000">
                  <a:schemeClr val="bg1">
                    <a:alpha val="40000"/>
                  </a:schemeClr>
                </a:glow>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Ausbauziel_Wärme!$D$78:$E$78</c:f>
              <c:numCache>
                <c:formatCode>#,##0</c:formatCode>
                <c:ptCount val="2"/>
                <c:pt idx="0">
                  <c:v>30922.57</c:v>
                </c:pt>
                <c:pt idx="1">
                  <c:v>28624.930000000004</c:v>
                </c:pt>
              </c:numCache>
            </c:numRef>
          </c:val>
          <c:extLst xmlns:c16r2="http://schemas.microsoft.com/office/drawing/2015/06/chart">
            <c:ext xmlns:c16="http://schemas.microsoft.com/office/drawing/2014/chart" uri="{C3380CC4-5D6E-409C-BE32-E72D297353CC}">
              <c16:uniqueId val="{00000003-B8B8-4BB2-B7D6-663B6DB7DB55}"/>
            </c:ext>
          </c:extLst>
        </c:ser>
        <c:ser>
          <c:idx val="1"/>
          <c:order val="1"/>
          <c:tx>
            <c:strRef>
              <c:f>Ausbauziel_Wärme!$C$79</c:f>
              <c:strCache>
                <c:ptCount val="1"/>
                <c:pt idx="0">
                  <c:v>GHD / Industrie</c:v>
                </c:pt>
              </c:strCache>
            </c:strRef>
          </c:tx>
          <c:spPr>
            <a:solidFill>
              <a:schemeClr val="bg1">
                <a:lumMod val="75000"/>
                <a:alpha val="59000"/>
              </a:schemeClr>
            </a:solidFill>
            <a:ln w="9525">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Ausbauziel_Wärme!$D$79:$E$79</c:f>
              <c:numCache>
                <c:formatCode>#,##0</c:formatCode>
                <c:ptCount val="2"/>
                <c:pt idx="0">
                  <c:v>42453.66</c:v>
                </c:pt>
                <c:pt idx="1">
                  <c:v>67463.43579977761</c:v>
                </c:pt>
              </c:numCache>
            </c:numRef>
          </c:val>
          <c:extLst xmlns:c16r2="http://schemas.microsoft.com/office/drawing/2015/06/chart">
            <c:ext xmlns:c16="http://schemas.microsoft.com/office/drawing/2014/chart" uri="{C3380CC4-5D6E-409C-BE32-E72D297353CC}">
              <c16:uniqueId val="{00000008-4194-4EE4-BC59-5EC5C24DF321}"/>
            </c:ext>
          </c:extLst>
        </c:ser>
        <c:ser>
          <c:idx val="2"/>
          <c:order val="2"/>
          <c:tx>
            <c:strRef>
              <c:f>Ausbauziel_Wärme!$C$80</c:f>
              <c:strCache>
                <c:ptCount val="1"/>
                <c:pt idx="0">
                  <c:v>Kommunale Einrichtungen</c:v>
                </c:pt>
              </c:strCache>
            </c:strRef>
          </c:tx>
          <c:spPr>
            <a:solidFill>
              <a:srgbClr val="8BD363"/>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Ausbauziel_Wärme!$D$80:$E$80</c:f>
              <c:numCache>
                <c:formatCode>#,##0</c:formatCode>
                <c:ptCount val="2"/>
                <c:pt idx="0">
                  <c:v>1701.96</c:v>
                </c:pt>
                <c:pt idx="1">
                  <c:v>1823.4198955747556</c:v>
                </c:pt>
              </c:numCache>
            </c:numRef>
          </c:val>
          <c:extLst xmlns:c16r2="http://schemas.microsoft.com/office/drawing/2015/06/chart">
            <c:ext xmlns:c16="http://schemas.microsoft.com/office/drawing/2014/chart" uri="{C3380CC4-5D6E-409C-BE32-E72D297353CC}">
              <c16:uniqueId val="{00000009-4194-4EE4-BC59-5EC5C24DF321}"/>
            </c:ext>
          </c:extLst>
        </c:ser>
        <c:dLbls>
          <c:showLegendKey val="0"/>
          <c:showVal val="0"/>
          <c:showCatName val="0"/>
          <c:showSerName val="0"/>
          <c:showPercent val="0"/>
          <c:showBubbleSize val="0"/>
        </c:dLbls>
        <c:gapWidth val="150"/>
        <c:overlap val="100"/>
        <c:axId val="545697480"/>
        <c:axId val="545706104"/>
      </c:barChart>
      <c:catAx>
        <c:axId val="545697480"/>
        <c:scaling>
          <c:orientation val="minMax"/>
        </c:scaling>
        <c:delete val="0"/>
        <c:axPos val="l"/>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545706104"/>
        <c:crosses val="autoZero"/>
        <c:auto val="1"/>
        <c:lblAlgn val="ctr"/>
        <c:lblOffset val="100"/>
        <c:noMultiLvlLbl val="0"/>
      </c:catAx>
      <c:valAx>
        <c:axId val="5457061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de-DE" sz="1000" b="1"/>
                  <a:t>Wärmenachfrage </a:t>
                </a:r>
              </a:p>
              <a:p>
                <a:pPr>
                  <a:defRPr sz="1000" b="1"/>
                </a:pPr>
                <a:r>
                  <a:rPr lang="de-DE" sz="1000" b="1"/>
                  <a:t>in MWh/a</a:t>
                </a:r>
              </a:p>
            </c:rich>
          </c:tx>
          <c:layout>
            <c:manualLayout>
              <c:xMode val="edge"/>
              <c:yMode val="edge"/>
              <c:x val="1.3281615063397386E-2"/>
              <c:y val="0.454287490203497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title>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545697480"/>
        <c:crosses val="autoZero"/>
        <c:crossBetween val="between"/>
      </c:valAx>
      <c:spPr>
        <a:noFill/>
        <a:ln>
          <a:noFill/>
        </a:ln>
        <a:effectLst/>
      </c:spPr>
    </c:plotArea>
    <c:legend>
      <c:legendPos val="t"/>
      <c:layout/>
      <c:overlay val="0"/>
      <c:spPr>
        <a:solidFill>
          <a:srgbClr val="F7F7F7"/>
        </a:solidFill>
        <a:ln w="12700" cap="flat" cmpd="sng" algn="ctr">
          <a:noFill/>
          <a:prstDash val="solid"/>
          <a:miter lim="800000"/>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rgbClr val="F7F7F7"/>
    </a:solidFill>
    <a:ln w="3175" cap="flat" cmpd="sng" algn="ctr">
      <a:noFill/>
      <a:round/>
    </a:ln>
    <a:effectLst/>
  </c:spPr>
  <c:txPr>
    <a:bodyPr/>
    <a:lstStyle/>
    <a:p>
      <a:pPr>
        <a:defRPr lang="en-US"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printSettings>
    <c:headerFooter>
      <c:oddHeader>&amp;L&amp;I&amp;R&amp;I</c:oddHeader>
      <c:oddFooter>&amp;Z&amp;"Trebuchet MS,Standard"&amp;16Seite &amp;S</c:oddFooter>
    </c:headerFooter>
    <c:pageMargins b="0.78740157499999996" l="0.7" r="0.7" t="0.78740157499999996"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200" baseline="0">
                <a:solidFill>
                  <a:sysClr val="windowText" lastClr="000000"/>
                </a:solidFill>
                <a:latin typeface="Arial" panose="020B0604020202020204" pitchFamily="34" charset="0"/>
                <a:ea typeface="+mn-ea"/>
                <a:cs typeface="Arial" panose="020B0604020202020204" pitchFamily="34" charset="0"/>
              </a:defRPr>
            </a:pPr>
            <a:r>
              <a:rPr lang="de-DE" sz="1000" b="1" spc="200" baseline="0">
                <a:latin typeface="Arial" panose="020B0604020202020204" pitchFamily="34" charset="0"/>
                <a:cs typeface="Arial" panose="020B0604020202020204" pitchFamily="34" charset="0"/>
              </a:rPr>
              <a:t>Wärmeerzeugung in MWh/a</a:t>
            </a:r>
          </a:p>
        </c:rich>
      </c:tx>
      <c:layout>
        <c:manualLayout>
          <c:xMode val="edge"/>
          <c:yMode val="edge"/>
          <c:x val="0.32629172417885188"/>
          <c:y val="5.3941739523409866E-2"/>
        </c:manualLayout>
      </c:layout>
      <c:overlay val="0"/>
      <c:spPr>
        <a:noFill/>
        <a:ln>
          <a:noFill/>
        </a:ln>
        <a:effectLst/>
      </c:spPr>
    </c:title>
    <c:autoTitleDeleted val="0"/>
    <c:plotArea>
      <c:layout>
        <c:manualLayout>
          <c:layoutTarget val="inner"/>
          <c:xMode val="edge"/>
          <c:yMode val="edge"/>
          <c:x val="6.1325797801075235E-2"/>
          <c:y val="0.17681166263860332"/>
          <c:w val="0.83358890902394456"/>
          <c:h val="0.58212823546434922"/>
        </c:manualLayout>
      </c:layout>
      <c:barChart>
        <c:barDir val="bar"/>
        <c:grouping val="stacked"/>
        <c:varyColors val="0"/>
        <c:ser>
          <c:idx val="0"/>
          <c:order val="0"/>
          <c:tx>
            <c:strRef>
              <c:f>Ausbauziel_Wärme!$G$79</c:f>
              <c:strCache>
                <c:ptCount val="1"/>
                <c:pt idx="0">
                  <c:v>Erneuerbare Wärmeerzeugung</c:v>
                </c:pt>
              </c:strCache>
            </c:strRef>
          </c:tx>
          <c:spPr>
            <a:solidFill>
              <a:srgbClr val="8BD363">
                <a:alpha val="72000"/>
              </a:srgbClr>
            </a:solidFill>
            <a:ln>
              <a:solidFill>
                <a:schemeClr val="bg1"/>
              </a:solidFill>
            </a:ln>
          </c:spPr>
          <c:invertIfNegative val="0"/>
          <c:dLbls>
            <c:numFmt formatCode="#,###" sourceLinked="0"/>
            <c:spPr>
              <a:noFill/>
              <a:ln>
                <a:noFill/>
              </a:ln>
              <a:effectLst/>
            </c:spPr>
            <c:txPr>
              <a:bodyPr wrap="square" lIns="38100" tIns="19050" rIns="38100" bIns="19050" anchor="ctr">
                <a:spAutoFit/>
              </a:bodyPr>
              <a:lstStyle/>
              <a:p>
                <a:pPr>
                  <a:defRPr sz="800">
                    <a:effectLst>
                      <a:glow rad="127000">
                        <a:schemeClr val="bg1">
                          <a:alpha val="52000"/>
                        </a:schemeClr>
                      </a:glow>
                    </a:effectLst>
                    <a:latin typeface="Arial" panose="020B0604020202020204" pitchFamily="34" charset="0"/>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Ausbauziel_Wärme!$H$77:$I$77</c:f>
              <c:numCache>
                <c:formatCode>General</c:formatCode>
                <c:ptCount val="2"/>
                <c:pt idx="0" formatCode="0">
                  <c:v>2018</c:v>
                </c:pt>
                <c:pt idx="1">
                  <c:v>2035</c:v>
                </c:pt>
              </c:numCache>
            </c:numRef>
          </c:cat>
          <c:val>
            <c:numRef>
              <c:f>Ausbauziel_Wärme!$H$79:$I$79</c:f>
              <c:numCache>
                <c:formatCode>#,##0</c:formatCode>
                <c:ptCount val="2"/>
                <c:pt idx="0">
                  <c:v>4116</c:v>
                </c:pt>
                <c:pt idx="1">
                  <c:v>0</c:v>
                </c:pt>
              </c:numCache>
            </c:numRef>
          </c:val>
          <c:extLst xmlns:c16r2="http://schemas.microsoft.com/office/drawing/2015/06/chart">
            <c:ext xmlns:c16="http://schemas.microsoft.com/office/drawing/2014/chart" uri="{C3380CC4-5D6E-409C-BE32-E72D297353CC}">
              <c16:uniqueId val="{00000002-DB2C-462F-8D4E-EEEC6DE66E30}"/>
            </c:ext>
          </c:extLst>
        </c:ser>
        <c:ser>
          <c:idx val="5"/>
          <c:order val="1"/>
          <c:tx>
            <c:strRef>
              <c:f>Ausbauziel_Wärme!$G$80</c:f>
              <c:strCache>
                <c:ptCount val="1"/>
                <c:pt idx="0">
                  <c:v>Nicht erneuerbare Wärmeerzeugung</c:v>
                </c:pt>
              </c:strCache>
            </c:strRef>
          </c:tx>
          <c:spPr>
            <a:pattFill prst="wdUpDiag">
              <a:fgClr>
                <a:srgbClr val="FFB7B7"/>
              </a:fgClr>
              <a:bgClr>
                <a:schemeClr val="bg1">
                  <a:lumMod val="85000"/>
                </a:schemeClr>
              </a:bgClr>
            </a:pattFill>
            <a:ln w="9525">
              <a:solidFill>
                <a:schemeClr val="bg1">
                  <a:lumMod val="95000"/>
                </a:schemeClr>
              </a:solidFill>
            </a:ln>
          </c:spPr>
          <c:invertIfNegative val="0"/>
          <c:dLbls>
            <c:numFmt formatCode="#,###" sourceLinked="0"/>
            <c:spPr>
              <a:noFill/>
              <a:ln>
                <a:noFill/>
              </a:ln>
              <a:effectLst/>
            </c:spPr>
            <c:txPr>
              <a:bodyPr wrap="square" lIns="38100" tIns="19050" rIns="38100" bIns="19050" anchor="ctr" anchorCtr="0">
                <a:spAutoFit/>
              </a:bodyPr>
              <a:lstStyle/>
              <a:p>
                <a:pPr algn="ctr">
                  <a:defRPr lang="en-US" sz="800" b="0" i="0" u="none" strike="noStrike" kern="1200" baseline="0">
                    <a:solidFill>
                      <a:sysClr val="windowText" lastClr="000000"/>
                    </a:solidFill>
                    <a:effectLst>
                      <a:glow rad="203200">
                        <a:srgbClr val="F7F7F7">
                          <a:alpha val="74000"/>
                        </a:srgb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Ausbauziel_Wärme!$H$77:$I$77</c:f>
              <c:numCache>
                <c:formatCode>General</c:formatCode>
                <c:ptCount val="2"/>
                <c:pt idx="0" formatCode="0">
                  <c:v>2018</c:v>
                </c:pt>
                <c:pt idx="1">
                  <c:v>2035</c:v>
                </c:pt>
              </c:numCache>
            </c:numRef>
          </c:cat>
          <c:val>
            <c:numRef>
              <c:f>Ausbauziel_Wärme!$H$80:$I$80</c:f>
              <c:numCache>
                <c:formatCode>#,##0</c:formatCode>
                <c:ptCount val="2"/>
                <c:pt idx="0">
                  <c:v>70962</c:v>
                </c:pt>
                <c:pt idx="1">
                  <c:v>97911.785695352373</c:v>
                </c:pt>
              </c:numCache>
            </c:numRef>
          </c:val>
          <c:extLst xmlns:c16r2="http://schemas.microsoft.com/office/drawing/2015/06/chart">
            <c:ext xmlns:c16="http://schemas.microsoft.com/office/drawing/2014/chart" uri="{C3380CC4-5D6E-409C-BE32-E72D297353CC}">
              <c16:uniqueId val="{0000000E-DB2C-462F-8D4E-EEEC6DE66E30}"/>
            </c:ext>
          </c:extLst>
        </c:ser>
        <c:dLbls>
          <c:showLegendKey val="0"/>
          <c:showVal val="0"/>
          <c:showCatName val="0"/>
          <c:showSerName val="0"/>
          <c:showPercent val="0"/>
          <c:showBubbleSize val="0"/>
        </c:dLbls>
        <c:gapWidth val="51"/>
        <c:overlap val="100"/>
        <c:axId val="545709632"/>
        <c:axId val="545708064"/>
      </c:barChart>
      <c:scatterChart>
        <c:scatterStyle val="lineMarker"/>
        <c:varyColors val="0"/>
        <c:ser>
          <c:idx val="7"/>
          <c:order val="2"/>
          <c:tx>
            <c:strRef>
              <c:f>Ausbauziel_Wärme!$G$82</c:f>
              <c:strCache>
                <c:ptCount val="1"/>
                <c:pt idx="0">
                  <c:v>Wärmenachfrage</c:v>
                </c:pt>
              </c:strCache>
            </c:strRef>
          </c:tx>
          <c:spPr>
            <a:ln w="19050">
              <a:noFill/>
            </a:ln>
          </c:spPr>
          <c:marker>
            <c:symbol val="diamond"/>
            <c:size val="20"/>
            <c:spPr>
              <a:solidFill>
                <a:srgbClr val="FFB7B7"/>
              </a:solidFill>
              <a:ln>
                <a:solidFill>
                  <a:srgbClr val="C00000"/>
                </a:solidFill>
              </a:ln>
            </c:spPr>
          </c:marker>
          <c:dLbls>
            <c:numFmt formatCode="#,###" sourceLinked="0"/>
            <c:spPr>
              <a:noFill/>
              <a:ln>
                <a:noFill/>
              </a:ln>
              <a:effectLst/>
            </c:spPr>
            <c:txPr>
              <a:bodyPr wrap="square" lIns="38100" tIns="19050" rIns="38100" bIns="19050" anchor="ctr">
                <a:spAutoFit/>
              </a:bodyPr>
              <a:lstStyle/>
              <a:p>
                <a:pPr>
                  <a:defRPr sz="800">
                    <a:solidFill>
                      <a:srgbClr val="C00000"/>
                    </a:solidFill>
                    <a:latin typeface="Arial" panose="020B0604020202020204" pitchFamily="34" charset="0"/>
                    <a:cs typeface="Arial" panose="020B0604020202020204" pitchFamily="34" charset="0"/>
                  </a:defRPr>
                </a:pPr>
                <a:endParaRPr lang="de-DE"/>
              </a:p>
            </c:txPr>
            <c:dLblPos val="t"/>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a:solidFill>
                        <a:srgbClr val="C00000"/>
                      </a:solidFill>
                    </a:ln>
                  </c:spPr>
                </c15:leaderLines>
              </c:ext>
            </c:extLst>
          </c:dLbls>
          <c:xVal>
            <c:numRef>
              <c:f>Ausbauziel_Wärme!$H$82:$I$82</c:f>
              <c:numCache>
                <c:formatCode>#,##0</c:formatCode>
                <c:ptCount val="2"/>
                <c:pt idx="0">
                  <c:v>75078</c:v>
                </c:pt>
                <c:pt idx="1">
                  <c:v>97911.785695352373</c:v>
                </c:pt>
              </c:numCache>
            </c:numRef>
          </c:xVal>
          <c:yVal>
            <c:numRef>
              <c:f>Ausbauziel_Wärme!$H$84:$I$84</c:f>
              <c:numCache>
                <c:formatCode>General</c:formatCode>
                <c:ptCount val="2"/>
                <c:pt idx="0">
                  <c:v>2018.5</c:v>
                </c:pt>
                <c:pt idx="1">
                  <c:v>2035.5</c:v>
                </c:pt>
              </c:numCache>
            </c:numRef>
          </c:yVal>
          <c:smooth val="0"/>
          <c:extLst xmlns:c16r2="http://schemas.microsoft.com/office/drawing/2015/06/chart">
            <c:ext xmlns:c16="http://schemas.microsoft.com/office/drawing/2014/chart" uri="{C3380CC4-5D6E-409C-BE32-E72D297353CC}">
              <c16:uniqueId val="{00000012-DB2C-462F-8D4E-EEEC6DE66E30}"/>
            </c:ext>
          </c:extLst>
        </c:ser>
        <c:dLbls>
          <c:showLegendKey val="0"/>
          <c:showVal val="0"/>
          <c:showCatName val="0"/>
          <c:showSerName val="0"/>
          <c:showPercent val="0"/>
          <c:showBubbleSize val="0"/>
        </c:dLbls>
        <c:axId val="545706888"/>
        <c:axId val="545707672"/>
      </c:scatterChart>
      <c:valAx>
        <c:axId val="545706888"/>
        <c:scaling>
          <c:orientation val="minMax"/>
        </c:scaling>
        <c:delete val="1"/>
        <c:axPos val="t"/>
        <c:numFmt formatCode="#,##0" sourceLinked="1"/>
        <c:majorTickMark val="out"/>
        <c:minorTickMark val="none"/>
        <c:tickLblPos val="nextTo"/>
        <c:crossAx val="545707672"/>
        <c:crosses val="max"/>
        <c:crossBetween val="midCat"/>
      </c:valAx>
      <c:valAx>
        <c:axId val="545707672"/>
        <c:scaling>
          <c:orientation val="minMax"/>
          <c:max val="2044"/>
          <c:min val="2010"/>
        </c:scaling>
        <c:delete val="1"/>
        <c:axPos val="l"/>
        <c:numFmt formatCode="#,##0" sourceLinked="0"/>
        <c:majorTickMark val="out"/>
        <c:minorTickMark val="none"/>
        <c:tickLblPos val="nextTo"/>
        <c:crossAx val="545706888"/>
        <c:crosses val="autoZero"/>
        <c:crossBetween val="midCat"/>
      </c:valAx>
      <c:valAx>
        <c:axId val="545708064"/>
        <c:scaling>
          <c:orientation val="minMax"/>
        </c:scaling>
        <c:delete val="0"/>
        <c:axPos val="b"/>
        <c:numFmt formatCode="#,###" sourceLinked="0"/>
        <c:majorTickMark val="out"/>
        <c:minorTickMark val="none"/>
        <c:tickLblPos val="nextTo"/>
        <c:txPr>
          <a:bodyPr/>
          <a:lstStyle/>
          <a:p>
            <a:pPr algn="ct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45709632"/>
        <c:crosses val="autoZero"/>
        <c:crossBetween val="between"/>
      </c:valAx>
      <c:catAx>
        <c:axId val="545709632"/>
        <c:scaling>
          <c:orientation val="minMax"/>
        </c:scaling>
        <c:delete val="0"/>
        <c:axPos val="r"/>
        <c:numFmt formatCode="0" sourceLinked="1"/>
        <c:majorTickMark val="out"/>
        <c:minorTickMark val="none"/>
        <c:tickLblPos val="nextTo"/>
        <c:spPr>
          <a:ln>
            <a:noFill/>
          </a:ln>
        </c:spPr>
        <c:txPr>
          <a:bodyPr/>
          <a:lstStyle/>
          <a:p>
            <a:pPr>
              <a:defRPr sz="1200" b="0">
                <a:latin typeface="Arial" panose="020B0604020202020204" pitchFamily="34" charset="0"/>
                <a:cs typeface="Arial" panose="020B0604020202020204" pitchFamily="34" charset="0"/>
              </a:defRPr>
            </a:pPr>
            <a:endParaRPr lang="de-DE"/>
          </a:p>
        </c:txPr>
        <c:crossAx val="545708064"/>
        <c:crosses val="max"/>
        <c:auto val="1"/>
        <c:lblAlgn val="ctr"/>
        <c:lblOffset val="100"/>
        <c:noMultiLvlLbl val="0"/>
      </c:catAx>
      <c:spPr>
        <a:noFill/>
        <a:ln>
          <a:noFill/>
        </a:ln>
        <a:effectLst/>
      </c:spPr>
    </c:plotArea>
    <c:legend>
      <c:legendPos val="b"/>
      <c:legendEntry>
        <c:idx val="2"/>
        <c:txPr>
          <a:bodyPr rot="0" spcFirstLastPara="1" vertOverflow="ellipsis" vert="horz" wrap="square" anchor="ctr" anchorCtr="1"/>
          <a:lstStyle/>
          <a:p>
            <a:pPr>
              <a:defRPr sz="1000" b="0" i="0" u="none" strike="noStrike" kern="1200" baseline="0">
                <a:ln>
                  <a:noFill/>
                </a:ln>
                <a:solidFill>
                  <a:srgbClr val="C00000"/>
                </a:solidFill>
                <a:latin typeface="Arial" panose="020B0604020202020204" pitchFamily="34" charset="0"/>
                <a:ea typeface="+mn-ea"/>
                <a:cs typeface="Arial" panose="020B0604020202020204" pitchFamily="34" charset="0"/>
              </a:defRPr>
            </a:pPr>
            <a:endParaRPr lang="de-DE"/>
          </a:p>
        </c:txPr>
      </c:legendEntry>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xmlns:c16r2="http://schemas.microsoft.com/office/drawing/2015/06/chart"/>
  </c:chart>
  <c:spPr>
    <a:solidFill>
      <a:srgbClr val="F7F7F7"/>
    </a:solidFill>
    <a:ln w="6350" cap="flat" cmpd="sng" algn="ctr">
      <a:noFill/>
      <a:round/>
    </a:ln>
    <a:effectLst/>
  </c:spPr>
  <c:txPr>
    <a:bodyPr/>
    <a:lstStyle/>
    <a:p>
      <a:pPr>
        <a:defRPr sz="1200">
          <a:solidFill>
            <a:sysClr val="windowText" lastClr="000000"/>
          </a:solidFill>
          <a:latin typeface="Trebuchet MS" panose="020B0603020202020204" pitchFamily="34" charset="0"/>
          <a:cs typeface="Arial" panose="020B0604020202020204" pitchFamily="34" charset="0"/>
        </a:defRPr>
      </a:pPr>
      <a:endParaRPr lang="de-DE"/>
    </a:p>
  </c:txPr>
  <c:printSettings>
    <c:headerFooter>
      <c:oddFooter>&amp;Z&amp;"Trebuchet MS,Standard"&amp;12&amp;S</c:oddFooter>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400" b="0" i="0" u="none" strike="noStrike" kern="1200" spc="0" baseline="0">
                <a:solidFill>
                  <a:sysClr val="windowText" lastClr="000000"/>
                </a:solidFill>
                <a:latin typeface="+mn-lt"/>
                <a:ea typeface="+mn-ea"/>
                <a:cs typeface="+mn-cs"/>
              </a:defRPr>
            </a:pPr>
            <a:r>
              <a:rPr lang="de-DE" sz="1400" b="0" i="0" u="none" strike="noStrike" kern="1200" spc="0" baseline="0">
                <a:solidFill>
                  <a:sysClr val="windowText" lastClr="000000"/>
                </a:solidFill>
                <a:latin typeface="+mn-lt"/>
                <a:ea typeface="+mn-ea"/>
                <a:cs typeface="+mn-cs"/>
              </a:rPr>
              <a:t>THG-Emissionen der Sektoren Wärme, Strom und Verkehr</a:t>
            </a:r>
          </a:p>
        </c:rich>
      </c:tx>
      <c:layout/>
      <c:overlay val="0"/>
      <c:spPr>
        <a:noFill/>
        <a:ln>
          <a:noFill/>
        </a:ln>
        <a:effectLst/>
      </c:spPr>
      <c:txPr>
        <a:bodyPr rot="0" spcFirstLastPara="1" vertOverflow="ellipsis" vert="horz" wrap="square" anchor="ctr" anchorCtr="1"/>
        <a:lstStyle/>
        <a:p>
          <a:pPr algn="ctr" rtl="0">
            <a:defRPr lang="de-DE"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2.0883205627373651E-2"/>
          <c:y val="0.39088729236848357"/>
          <c:w val="0.86992536584906421"/>
          <c:h val="0.50110073036373193"/>
        </c:manualLayout>
      </c:layout>
      <c:barChart>
        <c:barDir val="bar"/>
        <c:grouping val="stacked"/>
        <c:varyColors val="0"/>
        <c:ser>
          <c:idx val="0"/>
          <c:order val="0"/>
          <c:tx>
            <c:strRef>
              <c:f>THG_Emissionen!$C$56</c:f>
              <c:strCache>
                <c:ptCount val="1"/>
                <c:pt idx="0">
                  <c:v>Strom</c:v>
                </c:pt>
              </c:strCache>
            </c:strRef>
          </c:tx>
          <c:spPr>
            <a:solidFill>
              <a:schemeClr val="accent1"/>
            </a:solidFill>
            <a:ln>
              <a:noFill/>
            </a:ln>
            <a:effectLst/>
          </c:spPr>
          <c:invertIfNegative val="0"/>
          <c:dPt>
            <c:idx val="0"/>
            <c:invertIfNegative val="0"/>
            <c:bubble3D val="0"/>
            <c:spPr>
              <a:solidFill>
                <a:srgbClr val="0070C0">
                  <a:alpha val="67000"/>
                </a:srgbClr>
              </a:solidFill>
              <a:ln>
                <a:noFill/>
              </a:ln>
              <a:effectLst/>
            </c:spPr>
            <c:extLst xmlns:c16r2="http://schemas.microsoft.com/office/drawing/2015/06/chart">
              <c:ext xmlns:c16="http://schemas.microsoft.com/office/drawing/2014/chart" uri="{C3380CC4-5D6E-409C-BE32-E72D297353CC}">
                <c16:uniqueId val="{00000002-62AD-4525-A774-1864DFE4338F}"/>
              </c:ext>
            </c:extLst>
          </c:dPt>
          <c:dLbls>
            <c:spPr>
              <a:noFill/>
              <a:ln>
                <a:noFill/>
              </a:ln>
              <a:effectLst/>
            </c:spPr>
            <c:txPr>
              <a:bodyPr rot="0" spcFirstLastPara="1" vertOverflow="ellipsis" vert="horz" wrap="square" anchor="ctr" anchorCtr="0"/>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THG_Emissionen!$D$56</c:f>
              <c:numCache>
                <c:formatCode>#,##0\ "t/a"</c:formatCode>
                <c:ptCount val="1"/>
                <c:pt idx="0">
                  <c:v>9499.4403084161586</c:v>
                </c:pt>
              </c:numCache>
            </c:numRef>
          </c:val>
          <c:extLst xmlns:c16r2="http://schemas.microsoft.com/office/drawing/2015/06/chart">
            <c:ext xmlns:c16="http://schemas.microsoft.com/office/drawing/2014/chart" uri="{C3380CC4-5D6E-409C-BE32-E72D297353CC}">
              <c16:uniqueId val="{00000000-62AD-4525-A774-1864DFE4338F}"/>
            </c:ext>
          </c:extLst>
        </c:ser>
        <c:ser>
          <c:idx val="1"/>
          <c:order val="1"/>
          <c:tx>
            <c:strRef>
              <c:f>THG_Emissionen!$C$57</c:f>
              <c:strCache>
                <c:ptCount val="1"/>
                <c:pt idx="0">
                  <c:v>Wärme</c:v>
                </c:pt>
              </c:strCache>
            </c:strRef>
          </c:tx>
          <c:spPr>
            <a:solidFill>
              <a:srgbClr val="FFB7B7"/>
            </a:solidFill>
            <a:ln>
              <a:noFill/>
            </a:ln>
            <a:effectLst/>
          </c:spPr>
          <c:invertIfNegative val="0"/>
          <c:dLbls>
            <c:spPr>
              <a:noFill/>
              <a:ln>
                <a:noFill/>
              </a:ln>
              <a:effectLst/>
            </c:spPr>
            <c:txPr>
              <a:bodyPr rot="0" spcFirstLastPara="1" vertOverflow="ellipsis" vert="horz" wrap="square" anchor="ctr" anchorCtr="0"/>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THG_Emissionen!$D$57</c:f>
              <c:numCache>
                <c:formatCode>#,##0\ "t/a"</c:formatCode>
                <c:ptCount val="1"/>
                <c:pt idx="0">
                  <c:v>23498.828566884571</c:v>
                </c:pt>
              </c:numCache>
            </c:numRef>
          </c:val>
          <c:extLst xmlns:c16r2="http://schemas.microsoft.com/office/drawing/2015/06/chart">
            <c:ext xmlns:c16="http://schemas.microsoft.com/office/drawing/2014/chart" uri="{C3380CC4-5D6E-409C-BE32-E72D297353CC}">
              <c16:uniqueId val="{00000001-62AD-4525-A774-1864DFE4338F}"/>
            </c:ext>
          </c:extLst>
        </c:ser>
        <c:ser>
          <c:idx val="2"/>
          <c:order val="2"/>
          <c:tx>
            <c:strRef>
              <c:f>THG_Emissionen!$C$58</c:f>
              <c:strCache>
                <c:ptCount val="1"/>
                <c:pt idx="0">
                  <c:v>Verkehr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THG_Emissionen!$D$58</c:f>
              <c:numCache>
                <c:formatCode>#,##0\ "t/a"</c:formatCode>
                <c:ptCount val="1"/>
                <c:pt idx="0">
                  <c:v>4277.2121212121219</c:v>
                </c:pt>
              </c:numCache>
            </c:numRef>
          </c:val>
          <c:extLst xmlns:c16r2="http://schemas.microsoft.com/office/drawing/2015/06/chart">
            <c:ext xmlns:c16="http://schemas.microsoft.com/office/drawing/2014/chart" uri="{C3380CC4-5D6E-409C-BE32-E72D297353CC}">
              <c16:uniqueId val="{00000002-6D52-47EF-A033-4CAD19F5ED88}"/>
            </c:ext>
          </c:extLst>
        </c:ser>
        <c:dLbls>
          <c:showLegendKey val="0"/>
          <c:showVal val="0"/>
          <c:showCatName val="0"/>
          <c:showSerName val="0"/>
          <c:showPercent val="0"/>
          <c:showBubbleSize val="0"/>
        </c:dLbls>
        <c:gapWidth val="7"/>
        <c:overlap val="100"/>
        <c:axId val="545711200"/>
        <c:axId val="545710808"/>
      </c:barChart>
      <c:catAx>
        <c:axId val="545711200"/>
        <c:scaling>
          <c:orientation val="minMax"/>
        </c:scaling>
        <c:delete val="1"/>
        <c:axPos val="l"/>
        <c:numFmt formatCode="General" sourceLinked="1"/>
        <c:majorTickMark val="none"/>
        <c:minorTickMark val="none"/>
        <c:tickLblPos val="nextTo"/>
        <c:crossAx val="545710808"/>
        <c:crosses val="autoZero"/>
        <c:auto val="1"/>
        <c:lblAlgn val="ctr"/>
        <c:lblOffset val="100"/>
        <c:noMultiLvlLbl val="0"/>
      </c:catAx>
      <c:valAx>
        <c:axId val="545710808"/>
        <c:scaling>
          <c:orientation val="minMax"/>
        </c:scaling>
        <c:delete val="1"/>
        <c:axPos val="b"/>
        <c:numFmt formatCode="#,##0\ &quot;t/a&quot;" sourceLinked="1"/>
        <c:majorTickMark val="none"/>
        <c:minorTickMark val="none"/>
        <c:tickLblPos val="nextTo"/>
        <c:crossAx val="54571120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lgn="ctr">
            <a:defRPr lang="en-US" sz="900" b="0" i="0" u="none" strike="noStrike" kern="1200" baseline="0">
              <a:solidFill>
                <a:sysClr val="windowText" lastClr="000000"/>
              </a:solidFill>
              <a:latin typeface="+mn-lt"/>
              <a:ea typeface="+mn-ea"/>
              <a:cs typeface="+mn-cs"/>
            </a:defRPr>
          </a:pPr>
          <a:endParaRPr lang="de-DE"/>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7F7F7"/>
    </a:solidFill>
    <a:ln w="9525" cap="flat" cmpd="sng" algn="ctr">
      <a:noFill/>
      <a:round/>
    </a:ln>
    <a:effectLst/>
  </c:spPr>
  <c:txPr>
    <a:bodyPr/>
    <a:lstStyle/>
    <a:p>
      <a:pPr>
        <a:defRPr lang="en-US" sz="1000" b="0" i="0" u="none" strike="noStrike" kern="1200" baseline="0">
          <a:solidFill>
            <a:schemeClr val="bg1"/>
          </a:solidFill>
          <a:latin typeface="+mn-lt"/>
          <a:ea typeface="+mn-ea"/>
          <a:cs typeface="+mn-cs"/>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0</xdr:rowOff>
    </xdr:from>
    <xdr:to>
      <xdr:col>11</xdr:col>
      <xdr:colOff>1</xdr:colOff>
      <xdr:row>11</xdr:row>
      <xdr:rowOff>83127</xdr:rowOff>
    </xdr:to>
    <xdr:graphicFrame macro="">
      <xdr:nvGraphicFramePr>
        <xdr:cNvPr id="59" name="Diagramm 4">
          <a:extLst>
            <a:ext uri="{FF2B5EF4-FFF2-40B4-BE49-F238E27FC236}">
              <a16:creationId xmlns:a16="http://schemas.microsoft.com/office/drawing/2014/main" xmlns="" id="{7F7E566B-63FA-4CEF-A3E7-F0FA101835A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32</xdr:row>
      <xdr:rowOff>571504</xdr:rowOff>
    </xdr:from>
    <xdr:to>
      <xdr:col>10</xdr:col>
      <xdr:colOff>939800</xdr:colOff>
      <xdr:row>46</xdr:row>
      <xdr:rowOff>814296</xdr:rowOff>
    </xdr:to>
    <xdr:graphicFrame macro="">
      <xdr:nvGraphicFramePr>
        <xdr:cNvPr id="74" name="Diagramm 7">
          <a:extLst>
            <a:ext uri="{FF2B5EF4-FFF2-40B4-BE49-F238E27FC236}">
              <a16:creationId xmlns:a16="http://schemas.microsoft.com/office/drawing/2014/main" xmlns="" id="{C4B08E63-69E7-44F3-8750-F46C91C33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37353</xdr:colOff>
      <xdr:row>12</xdr:row>
      <xdr:rowOff>201706</xdr:rowOff>
    </xdr:from>
    <xdr:to>
      <xdr:col>3</xdr:col>
      <xdr:colOff>375667</xdr:colOff>
      <xdr:row>15</xdr:row>
      <xdr:rowOff>31349</xdr:rowOff>
    </xdr:to>
    <xdr:sp macro="" textlink="">
      <xdr:nvSpPr>
        <xdr:cNvPr id="2" name="Pentagon 76">
          <a:extLst>
            <a:ext uri="{FF2B5EF4-FFF2-40B4-BE49-F238E27FC236}">
              <a16:creationId xmlns:a16="http://schemas.microsoft.com/office/drawing/2014/main" xmlns="" id="{D78CF849-C02C-4105-B981-F31656159553}"/>
            </a:ext>
          </a:extLst>
        </xdr:cNvPr>
        <xdr:cNvSpPr/>
      </xdr:nvSpPr>
      <xdr:spPr bwMode="ltGray">
        <a:xfrm>
          <a:off x="321235" y="4594412"/>
          <a:ext cx="1272138" cy="524408"/>
        </a:xfrm>
        <a:prstGeom prst="homePlate">
          <a:avLst>
            <a:gd name="adj" fmla="val 31469"/>
          </a:avLst>
        </a:prstGeom>
        <a:solidFill>
          <a:srgbClr val="71BAE8">
            <a:alpha val="55000"/>
          </a:srgbClr>
        </a:solidFill>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b="1" cap="all" spc="180" baseline="0">
              <a:solidFill>
                <a:sysClr val="windowText" lastClr="000000"/>
              </a:solidFill>
              <a:latin typeface="Arial" panose="020B0604020202020204" pitchFamily="34" charset="0"/>
              <a:cs typeface="Arial" panose="020B0604020202020204" pitchFamily="34" charset="0"/>
            </a:rPr>
            <a:t>Prognose</a:t>
          </a:r>
          <a:endParaRPr lang="en-GB" sz="1000" b="1" cap="small" spc="180" baseline="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155755</xdr:colOff>
      <xdr:row>6</xdr:row>
      <xdr:rowOff>35765</xdr:rowOff>
    </xdr:from>
    <xdr:to>
      <xdr:col>10</xdr:col>
      <xdr:colOff>1066321</xdr:colOff>
      <xdr:row>10</xdr:row>
      <xdr:rowOff>73565</xdr:rowOff>
    </xdr:to>
    <xdr:graphicFrame macro="">
      <xdr:nvGraphicFramePr>
        <xdr:cNvPr id="2" name="Diagramm 4">
          <a:extLst>
            <a:ext uri="{FF2B5EF4-FFF2-40B4-BE49-F238E27FC236}">
              <a16:creationId xmlns:a16="http://schemas.microsoft.com/office/drawing/2014/main" xmlns="" id="{D5217059-65AE-4304-A313-854697E8A77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70167</xdr:colOff>
      <xdr:row>12</xdr:row>
      <xdr:rowOff>82576</xdr:rowOff>
    </xdr:from>
    <xdr:to>
      <xdr:col>3</xdr:col>
      <xdr:colOff>315099</xdr:colOff>
      <xdr:row>14</xdr:row>
      <xdr:rowOff>158749</xdr:rowOff>
    </xdr:to>
    <xdr:sp macro="" textlink="">
      <xdr:nvSpPr>
        <xdr:cNvPr id="5" name="Pentagon 76">
          <a:extLst>
            <a:ext uri="{FF2B5EF4-FFF2-40B4-BE49-F238E27FC236}">
              <a16:creationId xmlns:a16="http://schemas.microsoft.com/office/drawing/2014/main" xmlns="" id="{DF643373-176F-40D1-8D2F-E2DA53391057}"/>
            </a:ext>
          </a:extLst>
        </xdr:cNvPr>
        <xdr:cNvSpPr/>
      </xdr:nvSpPr>
      <xdr:spPr bwMode="ltGray">
        <a:xfrm>
          <a:off x="262935" y="4482219"/>
          <a:ext cx="1265468" cy="529744"/>
        </a:xfrm>
        <a:prstGeom prst="homePlate">
          <a:avLst>
            <a:gd name="adj" fmla="val 31469"/>
          </a:avLst>
        </a:prstGeom>
        <a:solidFill>
          <a:srgbClr val="71BAE8">
            <a:alpha val="55000"/>
          </a:srgbClr>
        </a:solidFill>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b="1" cap="all" spc="180" baseline="0">
              <a:solidFill>
                <a:sysClr val="windowText" lastClr="000000"/>
              </a:solidFill>
              <a:latin typeface="Arial" panose="020B0604020202020204" pitchFamily="34" charset="0"/>
              <a:cs typeface="Arial" panose="020B0604020202020204" pitchFamily="34" charset="0"/>
            </a:rPr>
            <a:t>Prognose</a:t>
          </a:r>
          <a:endParaRPr lang="en-GB" sz="1000" b="1" cap="small" spc="180"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11339</xdr:colOff>
      <xdr:row>41</xdr:row>
      <xdr:rowOff>90715</xdr:rowOff>
    </xdr:from>
    <xdr:to>
      <xdr:col>10</xdr:col>
      <xdr:colOff>1088572</xdr:colOff>
      <xdr:row>50</xdr:row>
      <xdr:rowOff>173790</xdr:rowOff>
    </xdr:to>
    <xdr:graphicFrame macro="">
      <xdr:nvGraphicFramePr>
        <xdr:cNvPr id="7" name="Diagramm 7">
          <a:extLst>
            <a:ext uri="{FF2B5EF4-FFF2-40B4-BE49-F238E27FC236}">
              <a16:creationId xmlns:a16="http://schemas.microsoft.com/office/drawing/2014/main" xmlns="" id="{FF39B356-D1B4-445B-A6DA-03ACE13C0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26578</xdr:colOff>
      <xdr:row>33</xdr:row>
      <xdr:rowOff>30479</xdr:rowOff>
    </xdr:from>
    <xdr:to>
      <xdr:col>11</xdr:col>
      <xdr:colOff>25657</xdr:colOff>
      <xdr:row>37</xdr:row>
      <xdr:rowOff>172427</xdr:rowOff>
    </xdr:to>
    <xdr:graphicFrame macro="">
      <xdr:nvGraphicFramePr>
        <xdr:cNvPr id="7" name="Diagramm 6">
          <a:extLst>
            <a:ext uri="{FF2B5EF4-FFF2-40B4-BE49-F238E27FC236}">
              <a16:creationId xmlns:a16="http://schemas.microsoft.com/office/drawing/2014/main" xmlns="" id="{2B92F9B3-B35E-C773-FBC5-903E14C6E1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landkreis-muenchen.de/"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landkreis-muenchen.de/" TargetMode="External"/><Relationship Id="rId6" Type="http://schemas.openxmlformats.org/officeDocument/2006/relationships/comments" Target="../comments2.xml"/><Relationship Id="rId5" Type="http://schemas.openxmlformats.org/officeDocument/2006/relationships/vmlDrawing" Target="../drawings/vmlDrawing4.v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landkreis-muenchen.de/"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3:D18"/>
  <sheetViews>
    <sheetView zoomScale="108" zoomScaleNormal="108" workbookViewId="0">
      <selection activeCell="C24" sqref="C24"/>
    </sheetView>
  </sheetViews>
  <sheetFormatPr baseColWidth="10" defaultColWidth="11.42578125" defaultRowHeight="14.25" x14ac:dyDescent="0.2"/>
  <cols>
    <col min="1" max="1" width="11.42578125" style="1"/>
    <col min="2" max="2" width="28.28515625" style="1" bestFit="1" customWidth="1"/>
    <col min="3" max="3" width="70.7109375" style="1" customWidth="1"/>
    <col min="4" max="16384" width="11.42578125" style="1"/>
  </cols>
  <sheetData>
    <row r="3" spans="2:4" ht="20.25" x14ac:dyDescent="0.3">
      <c r="B3" s="193" t="s">
        <v>142</v>
      </c>
      <c r="C3" s="194"/>
    </row>
    <row r="4" spans="2:4" ht="25.5" customHeight="1" x14ac:dyDescent="0.2">
      <c r="B4" s="147" t="s">
        <v>90</v>
      </c>
      <c r="C4" s="148" t="s">
        <v>133</v>
      </c>
      <c r="D4" s="25"/>
    </row>
    <row r="5" spans="2:4" ht="12" customHeight="1" x14ac:dyDescent="0.2">
      <c r="B5" s="147"/>
      <c r="C5" s="148"/>
      <c r="D5" s="25"/>
    </row>
    <row r="6" spans="2:4" ht="28.5" x14ac:dyDescent="0.2">
      <c r="B6" s="153" t="s">
        <v>91</v>
      </c>
      <c r="C6" s="152" t="s">
        <v>136</v>
      </c>
      <c r="D6" s="27"/>
    </row>
    <row r="7" spans="2:4" x14ac:dyDescent="0.2">
      <c r="B7" s="153"/>
      <c r="C7" s="149"/>
      <c r="D7" s="27"/>
    </row>
    <row r="8" spans="2:4" ht="28.5" x14ac:dyDescent="0.2">
      <c r="B8" s="153" t="s">
        <v>92</v>
      </c>
      <c r="C8" s="152" t="s">
        <v>134</v>
      </c>
      <c r="D8" s="27"/>
    </row>
    <row r="9" spans="2:4" x14ac:dyDescent="0.2">
      <c r="B9" s="153"/>
      <c r="C9" s="149"/>
      <c r="D9" s="27"/>
    </row>
    <row r="10" spans="2:4" x14ac:dyDescent="0.2">
      <c r="B10" s="153" t="s">
        <v>167</v>
      </c>
      <c r="C10" s="149" t="s">
        <v>166</v>
      </c>
      <c r="D10" s="27"/>
    </row>
    <row r="11" spans="2:4" x14ac:dyDescent="0.2">
      <c r="B11" s="153"/>
      <c r="C11" s="149"/>
      <c r="D11" s="27"/>
    </row>
    <row r="12" spans="2:4" x14ac:dyDescent="0.2">
      <c r="B12" s="153" t="s">
        <v>95</v>
      </c>
      <c r="C12" s="149" t="s">
        <v>135</v>
      </c>
      <c r="D12" s="26"/>
    </row>
    <row r="13" spans="2:4" x14ac:dyDescent="0.2">
      <c r="B13" s="153"/>
      <c r="C13" s="149"/>
      <c r="D13" s="26"/>
    </row>
    <row r="14" spans="2:4" ht="28.5" x14ac:dyDescent="0.2">
      <c r="B14" s="153" t="s">
        <v>93</v>
      </c>
      <c r="C14" s="152" t="s">
        <v>132</v>
      </c>
      <c r="D14" s="26"/>
    </row>
    <row r="15" spans="2:4" x14ac:dyDescent="0.2">
      <c r="B15" s="153"/>
      <c r="C15" s="149"/>
      <c r="D15" s="26"/>
    </row>
    <row r="16" spans="2:4" x14ac:dyDescent="0.2">
      <c r="B16" s="153" t="s">
        <v>94</v>
      </c>
      <c r="C16" s="149" t="s">
        <v>131</v>
      </c>
      <c r="D16" s="26"/>
    </row>
    <row r="17" spans="2:4" x14ac:dyDescent="0.2">
      <c r="B17" s="150"/>
      <c r="C17" s="151"/>
      <c r="D17" s="26"/>
    </row>
    <row r="18" spans="2:4" x14ac:dyDescent="0.2">
      <c r="B18" s="28"/>
      <c r="C18" s="26"/>
      <c r="D18" s="26"/>
    </row>
  </sheetData>
  <mergeCells count="1">
    <mergeCell ref="B3:C3"/>
  </mergeCells>
  <hyperlinks>
    <hyperlink ref="B6" location="Ausbauziel_Strom!A1" display="Ausbauziel_Strom"/>
    <hyperlink ref="B8" location="Ausbauziel_Wärme!A1" display="Ausbauziel_Wärme"/>
    <hyperlink ref="B14" location="'Nachfrage &amp; Erzeugung'!A1" display="Nachfrage &amp; Erzeugung"/>
    <hyperlink ref="B12" location="'Basis-Annahmen'!A1" display="Basis-Annahmen"/>
    <hyperlink ref="B16" location="Potenzial!A1" display="Potenzial"/>
    <hyperlink ref="B10" location="THG_Emissionen!A1" display="THG_Emissionen"/>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V92"/>
  <sheetViews>
    <sheetView view="pageLayout" zoomScaleNormal="85" workbookViewId="0">
      <selection activeCell="F31" sqref="F31:G31"/>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8.7109375" style="1" customWidth="1"/>
    <col min="6" max="6" width="7.5703125" style="1" customWidth="1"/>
    <col min="7" max="7" width="12.85546875" style="1" customWidth="1"/>
    <col min="8" max="8" width="13.7109375" style="1" customWidth="1"/>
    <col min="9" max="9" width="8.85546875" style="1" customWidth="1"/>
    <col min="10" max="10" width="4.85546875" style="1" customWidth="1"/>
    <col min="11" max="11" width="13.140625" style="6" customWidth="1"/>
    <col min="12" max="12" width="3.140625" style="1" customWidth="1"/>
    <col min="13" max="13" width="11.42578125" style="1"/>
    <col min="14" max="14" width="27.7109375" style="1" customWidth="1"/>
    <col min="15" max="15" width="18.85546875" style="1" customWidth="1"/>
    <col min="16" max="18" width="11.42578125" style="1"/>
    <col min="19" max="19" width="36.140625" style="1" bestFit="1" customWidth="1"/>
    <col min="20" max="16384" width="11.42578125" style="1"/>
  </cols>
  <sheetData>
    <row r="1" spans="1:14" ht="18" x14ac:dyDescent="0.25">
      <c r="A1" s="195" t="s">
        <v>191</v>
      </c>
      <c r="B1" s="195"/>
      <c r="C1" s="195"/>
      <c r="D1" s="195"/>
      <c r="E1" s="195"/>
      <c r="F1" s="195"/>
      <c r="G1" s="195"/>
      <c r="H1" s="195"/>
      <c r="I1" s="195"/>
      <c r="J1" s="195"/>
      <c r="K1" s="195"/>
      <c r="L1" s="195"/>
    </row>
    <row r="2" spans="1:14" ht="16.5" customHeight="1" x14ac:dyDescent="0.2">
      <c r="A2" s="197" t="s">
        <v>192</v>
      </c>
      <c r="B2" s="197"/>
      <c r="C2" s="197"/>
      <c r="D2" s="197"/>
      <c r="E2" s="197"/>
      <c r="F2" s="197"/>
      <c r="G2" s="197"/>
      <c r="H2" s="197"/>
      <c r="I2" s="197"/>
      <c r="J2" s="197"/>
      <c r="K2" s="197"/>
      <c r="L2" s="197"/>
      <c r="M2" s="6"/>
    </row>
    <row r="3" spans="1:14" ht="8.25" customHeight="1" x14ac:dyDescent="0.2">
      <c r="A3" s="214"/>
      <c r="B3" s="214"/>
      <c r="C3" s="214"/>
      <c r="D3" s="214"/>
      <c r="E3" s="214"/>
      <c r="F3" s="214"/>
      <c r="G3" s="214"/>
      <c r="H3" s="214"/>
      <c r="I3" s="214"/>
      <c r="J3" s="214"/>
      <c r="K3" s="214"/>
      <c r="L3" s="214"/>
      <c r="M3" s="6"/>
    </row>
    <row r="4" spans="1:14" ht="24" customHeight="1" x14ac:dyDescent="0.2">
      <c r="A4" s="196" t="s">
        <v>31</v>
      </c>
      <c r="B4" s="196"/>
      <c r="C4" s="196"/>
      <c r="D4" s="196"/>
      <c r="E4" s="196"/>
      <c r="F4" s="196"/>
      <c r="G4" s="196"/>
      <c r="H4" s="196"/>
      <c r="I4" s="196"/>
      <c r="J4" s="196"/>
      <c r="K4" s="196"/>
      <c r="L4" s="196"/>
      <c r="M4" s="6"/>
      <c r="N4" s="6"/>
    </row>
    <row r="5" spans="1:14" ht="24" customHeight="1" x14ac:dyDescent="0.2">
      <c r="A5" s="22"/>
      <c r="B5" s="22"/>
      <c r="C5" s="22"/>
      <c r="D5" s="22"/>
      <c r="E5" s="22"/>
      <c r="F5" s="22"/>
      <c r="G5" s="22"/>
      <c r="H5" s="22"/>
      <c r="I5" s="22"/>
      <c r="J5" s="22"/>
      <c r="K5" s="22"/>
      <c r="L5" s="22"/>
      <c r="M5" s="6"/>
      <c r="N5" s="6"/>
    </row>
    <row r="6" spans="1:14" ht="24" customHeight="1" x14ac:dyDescent="0.2">
      <c r="A6" s="22"/>
      <c r="B6" s="22"/>
      <c r="C6" s="22"/>
      <c r="D6" s="22"/>
      <c r="E6" s="22"/>
      <c r="F6" s="22"/>
      <c r="G6" s="22"/>
      <c r="H6" s="22"/>
      <c r="I6" s="22"/>
      <c r="J6" s="22"/>
      <c r="K6" s="22"/>
      <c r="L6" s="22"/>
      <c r="M6" s="6"/>
      <c r="N6" s="6"/>
    </row>
    <row r="7" spans="1:14" ht="24" customHeight="1" x14ac:dyDescent="0.2">
      <c r="A7" s="22"/>
      <c r="B7" s="203"/>
      <c r="C7" s="203"/>
      <c r="D7" s="203"/>
      <c r="E7" s="203"/>
      <c r="F7" s="203"/>
      <c r="G7" s="203"/>
      <c r="H7" s="203"/>
      <c r="I7" s="203"/>
      <c r="J7" s="203"/>
      <c r="K7" s="203"/>
      <c r="L7" s="22"/>
      <c r="M7" s="6"/>
      <c r="N7" s="6"/>
    </row>
    <row r="8" spans="1:14" ht="69.75" customHeight="1" x14ac:dyDescent="0.2">
      <c r="A8" s="199"/>
      <c r="B8" s="199"/>
      <c r="C8" s="199"/>
      <c r="D8" s="199"/>
      <c r="E8" s="199"/>
      <c r="F8" s="199"/>
      <c r="G8" s="199"/>
      <c r="H8" s="199"/>
      <c r="I8" s="199"/>
      <c r="J8" s="199"/>
      <c r="K8" s="199"/>
    </row>
    <row r="9" spans="1:14" ht="62.25" customHeight="1" x14ac:dyDescent="0.25">
      <c r="A9" s="7"/>
      <c r="B9" s="8"/>
    </row>
    <row r="10" spans="1:14" ht="36.75" customHeight="1" x14ac:dyDescent="0.2">
      <c r="B10" s="9"/>
      <c r="C10" s="9"/>
      <c r="D10" s="9"/>
      <c r="E10" s="9"/>
      <c r="F10" s="9"/>
      <c r="G10" s="9"/>
      <c r="H10" s="9"/>
      <c r="I10" s="9"/>
      <c r="J10" s="9"/>
      <c r="K10" s="9"/>
    </row>
    <row r="11" spans="1:14" ht="19.5" customHeight="1" x14ac:dyDescent="0.2">
      <c r="B11" s="10"/>
      <c r="C11" s="10"/>
      <c r="D11" s="10"/>
      <c r="E11" s="10"/>
      <c r="F11" s="10"/>
      <c r="G11" s="10"/>
      <c r="H11" s="10"/>
      <c r="I11" s="10"/>
      <c r="J11" s="10"/>
      <c r="K11" s="10"/>
      <c r="L11" s="10"/>
    </row>
    <row r="12" spans="1:14" ht="19.5" customHeight="1" x14ac:dyDescent="0.2">
      <c r="B12" s="10"/>
      <c r="C12" s="10"/>
      <c r="D12" s="10"/>
      <c r="E12" s="10"/>
      <c r="F12" s="10"/>
      <c r="G12" s="10"/>
      <c r="H12" s="10"/>
      <c r="I12" s="10"/>
      <c r="J12" s="10"/>
      <c r="K12" s="10"/>
      <c r="L12" s="10"/>
    </row>
    <row r="13" spans="1:14" ht="18" customHeight="1" x14ac:dyDescent="0.2">
      <c r="A13" s="10"/>
      <c r="B13" s="10"/>
      <c r="D13" s="200" t="str">
        <f>"Prognostizierte Gesamtstromnachfrage in "&amp;'Basis-Annahmen'!E5&amp;":"</f>
        <v>Prognostizierte Gesamtstromnachfrage in 2035:</v>
      </c>
      <c r="E13" s="200"/>
      <c r="F13" s="200"/>
      <c r="G13" s="200"/>
      <c r="H13" s="200"/>
      <c r="I13" s="201" t="str">
        <f>FIXED(E82,0)&amp;" MWh/a"</f>
        <v>47.497 MWh/a</v>
      </c>
      <c r="J13" s="201"/>
      <c r="K13" s="201"/>
      <c r="L13" s="10"/>
    </row>
    <row r="14" spans="1:14" ht="18" customHeight="1" x14ac:dyDescent="0.2">
      <c r="A14" s="10"/>
      <c r="B14" s="10"/>
      <c r="D14" s="200" t="str">
        <f>"Zunahme der Stromnachfrage von 2018 bis "&amp;'Basis-Annahmen'!E5&amp;":"</f>
        <v>Zunahme der Stromnachfrage von 2018 bis 2035:</v>
      </c>
      <c r="E14" s="200"/>
      <c r="F14" s="200"/>
      <c r="G14" s="200"/>
      <c r="H14" s="200"/>
      <c r="I14" s="201" t="str">
        <f>""&amp;FIXED(E83*100,0)&amp;" %"</f>
        <v>49 %</v>
      </c>
      <c r="J14" s="201"/>
      <c r="K14" s="201"/>
      <c r="L14" s="10"/>
    </row>
    <row r="15" spans="1:14" ht="18" customHeight="1" x14ac:dyDescent="0.2">
      <c r="B15" s="10"/>
      <c r="D15" s="200" t="str">
        <f>"Anteil der Mobilität an der Stromnachfrage in "&amp;'Basis-Annahmen'!E5&amp;":"</f>
        <v>Anteil der Mobilität an der Stromnachfrage in 2035:</v>
      </c>
      <c r="E15" s="200"/>
      <c r="F15" s="200"/>
      <c r="G15" s="200"/>
      <c r="H15" s="200"/>
      <c r="I15" s="202" t="str">
        <f>""&amp;FIXED(E84*100,0,FALSE)&amp;" %"</f>
        <v>21 %</v>
      </c>
      <c r="J15" s="202"/>
      <c r="K15" s="202"/>
      <c r="L15" s="10"/>
    </row>
    <row r="16" spans="1:14" ht="18" customHeight="1" x14ac:dyDescent="0.2">
      <c r="A16" s="10"/>
      <c r="B16" s="10"/>
      <c r="D16" s="200" t="str">
        <f>"Anteil der Wärme an der Stromnachfrage in "&amp;'Basis-Annahmen'!E5&amp;":"</f>
        <v>Anteil der Wärme an der Stromnachfrage in 2035:</v>
      </c>
      <c r="E16" s="200"/>
      <c r="F16" s="200"/>
      <c r="G16" s="200"/>
      <c r="H16" s="200"/>
      <c r="I16" s="202" t="str">
        <f>""&amp;FIXED(E85*100,0,FALSE)&amp;" %"</f>
        <v>0 %</v>
      </c>
      <c r="J16" s="202"/>
      <c r="K16" s="202"/>
      <c r="L16" s="10"/>
    </row>
    <row r="17" spans="1:22" ht="30.75" customHeight="1" x14ac:dyDescent="0.2">
      <c r="A17" s="220"/>
      <c r="B17" s="220"/>
      <c r="C17" s="220"/>
      <c r="D17" s="220"/>
      <c r="E17" s="220"/>
      <c r="F17" s="220"/>
      <c r="G17" s="220"/>
      <c r="H17" s="220"/>
      <c r="I17" s="220"/>
      <c r="J17" s="220"/>
      <c r="K17" s="220"/>
      <c r="L17" s="220"/>
    </row>
    <row r="18" spans="1:22" ht="25.5" customHeight="1" x14ac:dyDescent="0.2">
      <c r="A18" s="198" t="s">
        <v>42</v>
      </c>
      <c r="B18" s="198"/>
      <c r="C18" s="198"/>
      <c r="D18" s="198"/>
      <c r="E18" s="198"/>
      <c r="F18" s="198"/>
      <c r="G18" s="198"/>
      <c r="H18" s="198"/>
      <c r="I18" s="198"/>
      <c r="J18" s="198"/>
      <c r="K18" s="198"/>
      <c r="L18" s="10"/>
    </row>
    <row r="19" spans="1:22" ht="42.75" customHeight="1" x14ac:dyDescent="0.2">
      <c r="B19" s="204" t="s">
        <v>44</v>
      </c>
      <c r="C19" s="204"/>
      <c r="D19" s="204"/>
      <c r="E19" s="204"/>
      <c r="F19" s="204"/>
      <c r="G19" s="204"/>
      <c r="H19" s="204"/>
      <c r="I19" s="204"/>
      <c r="J19" s="204"/>
      <c r="K19" s="204"/>
      <c r="L19" s="12"/>
    </row>
    <row r="20" spans="1:22" ht="60" customHeight="1" x14ac:dyDescent="0.2">
      <c r="B20" s="204" t="s">
        <v>107</v>
      </c>
      <c r="C20" s="204"/>
      <c r="D20" s="204"/>
      <c r="E20" s="204"/>
      <c r="F20" s="204"/>
      <c r="G20" s="204"/>
      <c r="H20" s="204"/>
      <c r="I20" s="204"/>
      <c r="J20" s="204"/>
      <c r="K20" s="204"/>
      <c r="L20" s="12"/>
    </row>
    <row r="21" spans="1:22" ht="31.5" customHeight="1" x14ac:dyDescent="0.2">
      <c r="B21" s="204" t="s">
        <v>43</v>
      </c>
      <c r="C21" s="204"/>
      <c r="D21" s="204"/>
      <c r="E21" s="204"/>
      <c r="F21" s="204"/>
      <c r="G21" s="204"/>
      <c r="H21" s="204"/>
      <c r="I21" s="204"/>
      <c r="J21" s="204"/>
      <c r="K21" s="204"/>
      <c r="L21" s="12"/>
    </row>
    <row r="22" spans="1:22" ht="35.25" customHeight="1" x14ac:dyDescent="0.2">
      <c r="A22" s="198" t="s">
        <v>45</v>
      </c>
      <c r="B22" s="198"/>
      <c r="C22" s="198"/>
      <c r="D22" s="198"/>
      <c r="E22" s="198"/>
      <c r="F22" s="198"/>
      <c r="G22" s="198"/>
      <c r="H22" s="198"/>
      <c r="I22" s="198"/>
      <c r="J22" s="198"/>
      <c r="K22" s="198"/>
    </row>
    <row r="23" spans="1:22" ht="51" customHeight="1" x14ac:dyDescent="0.2">
      <c r="B23" s="204" t="s">
        <v>46</v>
      </c>
      <c r="C23" s="204"/>
      <c r="D23" s="204"/>
      <c r="E23" s="204"/>
      <c r="F23" s="204"/>
      <c r="G23" s="204"/>
      <c r="H23" s="204"/>
      <c r="I23" s="204"/>
      <c r="J23" s="204"/>
      <c r="K23" s="204"/>
      <c r="L23" s="12"/>
      <c r="M23" s="23"/>
      <c r="R23" s="23"/>
      <c r="S23" s="23"/>
      <c r="T23" s="23"/>
      <c r="U23" s="23"/>
      <c r="V23" s="23"/>
    </row>
    <row r="24" spans="1:22" ht="33" customHeight="1" x14ac:dyDescent="0.2">
      <c r="B24" s="216" t="s">
        <v>193</v>
      </c>
      <c r="C24" s="216"/>
      <c r="D24" s="216"/>
      <c r="E24" s="216"/>
      <c r="F24" s="216"/>
      <c r="G24" s="216"/>
      <c r="H24" s="216"/>
      <c r="I24" s="216"/>
      <c r="J24" s="216"/>
      <c r="K24" s="216"/>
      <c r="L24" s="12"/>
    </row>
    <row r="25" spans="1:22" ht="31.5" customHeight="1" x14ac:dyDescent="0.2">
      <c r="A25" s="14"/>
      <c r="B25" s="217" t="str">
        <f>"Ausbauziel erneuerbare Stromerzeugung bis zum Jahr "&amp;'Basis-Annahmen'!E5</f>
        <v>Ausbauziel erneuerbare Stromerzeugung bis zum Jahr 2035</v>
      </c>
      <c r="C25" s="217"/>
      <c r="D25" s="217"/>
      <c r="E25" s="217"/>
      <c r="F25" s="217"/>
      <c r="G25" s="217"/>
      <c r="H25" s="217"/>
      <c r="I25" s="217"/>
      <c r="J25" s="217"/>
      <c r="K25" s="217"/>
    </row>
    <row r="26" spans="1:22" ht="30" customHeight="1" x14ac:dyDescent="0.2">
      <c r="A26" s="14"/>
      <c r="B26" s="218" t="s">
        <v>29</v>
      </c>
      <c r="C26" s="218"/>
      <c r="D26" s="156" t="s">
        <v>18</v>
      </c>
      <c r="E26" s="156" t="s">
        <v>86</v>
      </c>
      <c r="F26" s="215" t="s">
        <v>88</v>
      </c>
      <c r="G26" s="215"/>
      <c r="H26" s="219" t="s">
        <v>89</v>
      </c>
      <c r="I26" s="219"/>
      <c r="J26" s="219" t="s">
        <v>87</v>
      </c>
      <c r="K26" s="219"/>
    </row>
    <row r="27" spans="1:22" ht="27.95" customHeight="1" x14ac:dyDescent="0.2">
      <c r="A27" s="14"/>
      <c r="B27" s="205" t="s">
        <v>0</v>
      </c>
      <c r="C27" s="205"/>
      <c r="D27" s="179"/>
      <c r="E27" s="157" t="s">
        <v>11</v>
      </c>
      <c r="F27" s="211">
        <f>Potenzial!D11*Ausbauziel_Strom!D27</f>
        <v>0</v>
      </c>
      <c r="G27" s="211"/>
      <c r="H27" s="206">
        <f>Potenzial!D9</f>
        <v>63000</v>
      </c>
      <c r="I27" s="206"/>
      <c r="J27" s="207">
        <f>IF(H27&gt;0,F27/H27,0)</f>
        <v>0</v>
      </c>
      <c r="K27" s="207"/>
    </row>
    <row r="28" spans="1:22" ht="27.95" customHeight="1" x14ac:dyDescent="0.2">
      <c r="A28" s="14"/>
      <c r="B28" s="205" t="s">
        <v>125</v>
      </c>
      <c r="C28" s="205"/>
      <c r="D28" s="179"/>
      <c r="E28" s="158" t="s">
        <v>124</v>
      </c>
      <c r="F28" s="211">
        <f>D28*Potenzial!D18</f>
        <v>0</v>
      </c>
      <c r="G28" s="211"/>
      <c r="H28" s="206">
        <f>Potenzial!D14</f>
        <v>19610.399632500001</v>
      </c>
      <c r="I28" s="206"/>
      <c r="J28" s="207">
        <f t="shared" ref="J28:J29" si="0">IF(H28&gt;0,F28/H28,0)</f>
        <v>0</v>
      </c>
      <c r="K28" s="207"/>
    </row>
    <row r="29" spans="1:22" ht="27.95" customHeight="1" x14ac:dyDescent="0.2">
      <c r="A29" s="14"/>
      <c r="B29" s="208" t="s">
        <v>126</v>
      </c>
      <c r="C29" s="208"/>
      <c r="D29" s="179"/>
      <c r="E29" s="157" t="s">
        <v>10</v>
      </c>
      <c r="F29" s="211">
        <f>D29*Potenzial!D25</f>
        <v>0</v>
      </c>
      <c r="G29" s="211"/>
      <c r="H29" s="206">
        <f>Potenzial!D21</f>
        <v>57600</v>
      </c>
      <c r="I29" s="206"/>
      <c r="J29" s="207">
        <f t="shared" si="0"/>
        <v>0</v>
      </c>
      <c r="K29" s="207"/>
    </row>
    <row r="30" spans="1:22" ht="27.95" customHeight="1" x14ac:dyDescent="0.2">
      <c r="A30" s="14"/>
      <c r="B30" s="208" t="s">
        <v>127</v>
      </c>
      <c r="C30" s="208"/>
      <c r="D30" s="179"/>
      <c r="E30" s="157" t="s">
        <v>10</v>
      </c>
      <c r="F30" s="211">
        <f>D30*Potenzial!D30</f>
        <v>0</v>
      </c>
      <c r="G30" s="211"/>
      <c r="H30" s="206"/>
      <c r="I30" s="206"/>
      <c r="J30" s="207"/>
      <c r="K30" s="207"/>
    </row>
    <row r="31" spans="1:22" ht="27.95" customHeight="1" x14ac:dyDescent="0.2">
      <c r="A31" s="14"/>
      <c r="B31" s="158"/>
      <c r="C31" s="158" t="s">
        <v>128</v>
      </c>
      <c r="D31" s="157"/>
      <c r="E31" s="157"/>
      <c r="F31" s="212"/>
      <c r="G31" s="212"/>
      <c r="H31" s="206"/>
      <c r="I31" s="206"/>
      <c r="J31" s="207"/>
      <c r="K31" s="207"/>
      <c r="L31" s="162"/>
    </row>
    <row r="32" spans="1:22" ht="23.25" customHeight="1" x14ac:dyDescent="0.2">
      <c r="A32" s="14"/>
      <c r="B32" s="209" t="s">
        <v>32</v>
      </c>
      <c r="C32" s="209"/>
      <c r="D32" s="159"/>
      <c r="E32" s="159"/>
      <c r="F32" s="210">
        <f>SUM(F27:F31)</f>
        <v>0</v>
      </c>
      <c r="G32" s="210"/>
      <c r="H32" s="224">
        <f>SUM(H27:H31)</f>
        <v>140210.39963250002</v>
      </c>
      <c r="I32" s="224"/>
      <c r="J32" s="221">
        <f>IF(H32&gt;0,F32/H32,0)</f>
        <v>0</v>
      </c>
      <c r="K32" s="221"/>
      <c r="L32" s="162"/>
    </row>
    <row r="33" spans="2:16" ht="45.75" customHeight="1" x14ac:dyDescent="0.2">
      <c r="B33" s="204" t="str">
        <f>"Bei erfolgreicher Umsetzung dieser Zielsetzung ergäbe sich für die Gemeinde folgende Deckung der Stromnachfrage durch erneuerbare Energien für das Jahr "&amp;'Basis-Annahmen'!E5&amp;":"</f>
        <v>Bei erfolgreicher Umsetzung dieser Zielsetzung ergäbe sich für die Gemeinde folgende Deckung der Stromnachfrage durch erneuerbare Energien für das Jahr 2035:</v>
      </c>
      <c r="C33" s="204"/>
      <c r="D33" s="204"/>
      <c r="E33" s="204"/>
      <c r="F33" s="204"/>
      <c r="G33" s="204"/>
      <c r="H33" s="204"/>
      <c r="I33" s="204"/>
      <c r="J33" s="204"/>
      <c r="K33" s="204"/>
      <c r="L33" s="12"/>
    </row>
    <row r="34" spans="2:16" x14ac:dyDescent="0.2">
      <c r="L34" s="15"/>
      <c r="M34" s="15"/>
    </row>
    <row r="35" spans="2:16" x14ac:dyDescent="0.2">
      <c r="I35" s="6"/>
      <c r="L35" s="15"/>
      <c r="M35" s="15"/>
    </row>
    <row r="46" spans="2:16" x14ac:dyDescent="0.2">
      <c r="L46" s="15"/>
      <c r="M46" s="15"/>
      <c r="N46" s="10"/>
      <c r="O46" s="10"/>
      <c r="P46" s="10"/>
    </row>
    <row r="47" spans="2:16" ht="73.5" customHeight="1" x14ac:dyDescent="0.2">
      <c r="L47" s="15"/>
      <c r="M47" s="15"/>
      <c r="N47" s="15"/>
      <c r="O47" s="15"/>
      <c r="P47" s="15"/>
    </row>
    <row r="48" spans="2:16" ht="51.75" customHeight="1" x14ac:dyDescent="0.2">
      <c r="B48" s="204" t="s">
        <v>175</v>
      </c>
      <c r="C48" s="204"/>
      <c r="D48" s="204"/>
      <c r="E48" s="204"/>
      <c r="F48" s="204"/>
      <c r="G48" s="204"/>
      <c r="H48" s="204"/>
      <c r="I48" s="204"/>
      <c r="J48" s="204"/>
      <c r="K48" s="204"/>
      <c r="L48" s="15"/>
      <c r="M48" s="15"/>
    </row>
    <row r="49" spans="1:13" ht="36.75" customHeight="1" x14ac:dyDescent="0.2">
      <c r="B49" s="204" t="s">
        <v>41</v>
      </c>
      <c r="C49" s="204"/>
      <c r="D49" s="204"/>
      <c r="E49" s="204"/>
      <c r="F49" s="204"/>
      <c r="G49" s="204"/>
      <c r="H49" s="204"/>
      <c r="I49" s="204"/>
      <c r="J49" s="204"/>
      <c r="K49" s="204"/>
      <c r="L49" s="12"/>
      <c r="M49" s="15"/>
    </row>
    <row r="50" spans="1:13" ht="18" x14ac:dyDescent="0.2">
      <c r="A50" s="223" t="s">
        <v>39</v>
      </c>
      <c r="B50" s="223"/>
      <c r="C50" s="223"/>
      <c r="D50" s="223"/>
      <c r="E50" s="223"/>
      <c r="F50" s="223"/>
      <c r="G50" s="223"/>
      <c r="H50" s="223"/>
      <c r="I50" s="223"/>
      <c r="J50" s="223"/>
      <c r="K50" s="223"/>
    </row>
    <row r="51" spans="1:13" ht="27.75" customHeight="1" x14ac:dyDescent="0.2">
      <c r="K51" s="1"/>
    </row>
    <row r="52" spans="1:13" ht="32.25" customHeight="1" x14ac:dyDescent="0.2">
      <c r="A52" s="222" t="s">
        <v>40</v>
      </c>
      <c r="B52" s="222"/>
      <c r="C52" s="222"/>
      <c r="D52" s="222"/>
      <c r="E52" s="222"/>
      <c r="F52" s="222"/>
      <c r="G52" s="222"/>
      <c r="H52" s="222"/>
      <c r="I52" s="222"/>
      <c r="J52" s="222"/>
      <c r="K52" s="222"/>
    </row>
    <row r="53" spans="1:13" ht="77.25" customHeight="1" x14ac:dyDescent="0.2">
      <c r="B53" s="213" t="s">
        <v>190</v>
      </c>
      <c r="C53" s="213"/>
      <c r="D53" s="213"/>
      <c r="E53" s="213"/>
      <c r="F53" s="213"/>
      <c r="G53" s="213"/>
      <c r="H53" s="213"/>
      <c r="I53" s="213"/>
      <c r="J53" s="213"/>
      <c r="K53" s="213"/>
      <c r="L53" s="29"/>
      <c r="M53" s="29"/>
    </row>
    <row r="54" spans="1:13" x14ac:dyDescent="0.2">
      <c r="K54" s="1"/>
    </row>
    <row r="56" spans="1:13" ht="14.25" customHeight="1" x14ac:dyDescent="0.25">
      <c r="A56" s="16" t="s">
        <v>33</v>
      </c>
      <c r="B56" s="17"/>
      <c r="C56" s="17"/>
      <c r="D56" s="17"/>
      <c r="G56" s="17"/>
      <c r="I56" s="16" t="s">
        <v>34</v>
      </c>
      <c r="J56" s="17"/>
      <c r="K56" s="17"/>
    </row>
    <row r="57" spans="1:13" ht="18" customHeight="1" x14ac:dyDescent="0.2">
      <c r="B57" s="213" t="s">
        <v>177</v>
      </c>
      <c r="C57" s="213"/>
      <c r="D57" s="213"/>
      <c r="E57" s="213"/>
      <c r="F57" s="213"/>
      <c r="G57" s="213"/>
      <c r="H57" s="29"/>
      <c r="I57" s="18" t="s">
        <v>35</v>
      </c>
      <c r="J57" s="17"/>
      <c r="K57" s="17"/>
    </row>
    <row r="58" spans="1:13" ht="18" customHeight="1" x14ac:dyDescent="0.2">
      <c r="B58" s="213" t="s">
        <v>178</v>
      </c>
      <c r="C58" s="213"/>
      <c r="D58" s="213"/>
      <c r="E58" s="213"/>
      <c r="F58" s="213"/>
      <c r="G58" s="213"/>
      <c r="H58" s="29"/>
      <c r="I58" s="18" t="s">
        <v>36</v>
      </c>
      <c r="J58" s="17"/>
      <c r="K58" s="17"/>
    </row>
    <row r="59" spans="1:13" ht="18" customHeight="1" x14ac:dyDescent="0.2">
      <c r="B59" s="213" t="s">
        <v>179</v>
      </c>
      <c r="C59" s="213"/>
      <c r="D59" s="213"/>
      <c r="E59" s="213"/>
      <c r="F59" s="213"/>
      <c r="G59" s="213"/>
      <c r="H59" s="29"/>
      <c r="I59" s="18" t="s">
        <v>37</v>
      </c>
      <c r="J59" s="17"/>
      <c r="K59" s="17"/>
    </row>
    <row r="60" spans="1:13" ht="18" customHeight="1" x14ac:dyDescent="0.2">
      <c r="B60" s="213" t="s">
        <v>180</v>
      </c>
      <c r="C60" s="213"/>
      <c r="D60" s="213"/>
      <c r="E60" s="213"/>
      <c r="F60" s="213"/>
      <c r="G60" s="213"/>
      <c r="H60" s="30"/>
      <c r="I60" s="31" t="s">
        <v>38</v>
      </c>
      <c r="J60" s="19"/>
      <c r="K60" s="19"/>
    </row>
    <row r="61" spans="1:13" ht="18" customHeight="1" x14ac:dyDescent="0.2">
      <c r="B61" s="213" t="s">
        <v>181</v>
      </c>
      <c r="C61" s="213"/>
      <c r="D61" s="213"/>
      <c r="E61" s="213"/>
      <c r="F61" s="213"/>
      <c r="G61" s="213"/>
      <c r="H61" s="30"/>
      <c r="J61" s="19"/>
      <c r="K61" s="19"/>
    </row>
    <row r="62" spans="1:13" ht="18" customHeight="1" x14ac:dyDescent="0.2">
      <c r="B62" s="213" t="s">
        <v>182</v>
      </c>
      <c r="C62" s="213"/>
      <c r="D62" s="213"/>
      <c r="E62" s="213"/>
      <c r="F62" s="213"/>
      <c r="G62" s="213"/>
      <c r="H62" s="30"/>
      <c r="I62" s="20"/>
      <c r="J62" s="19"/>
      <c r="K62" s="19"/>
    </row>
    <row r="63" spans="1:13" ht="18" customHeight="1" x14ac:dyDescent="0.2">
      <c r="B63" s="213" t="s">
        <v>183</v>
      </c>
      <c r="C63" s="213"/>
      <c r="D63" s="213"/>
      <c r="E63" s="213"/>
      <c r="F63" s="213"/>
      <c r="G63" s="213"/>
      <c r="H63" s="30"/>
      <c r="I63" s="17"/>
      <c r="J63" s="19"/>
      <c r="K63" s="19"/>
    </row>
    <row r="64" spans="1:13" ht="18" customHeight="1" x14ac:dyDescent="0.2">
      <c r="B64" s="213" t="s">
        <v>184</v>
      </c>
      <c r="C64" s="213"/>
      <c r="D64" s="213"/>
      <c r="E64" s="213"/>
      <c r="F64" s="213"/>
      <c r="G64" s="213"/>
      <c r="H64" s="30"/>
      <c r="I64" s="17"/>
      <c r="J64" s="19"/>
      <c r="K64" s="19"/>
    </row>
    <row r="65" spans="1:12" x14ac:dyDescent="0.2">
      <c r="A65" s="21"/>
      <c r="B65" s="19"/>
      <c r="C65" s="172"/>
      <c r="D65" s="172"/>
      <c r="E65" s="172"/>
      <c r="F65" s="172"/>
      <c r="G65" s="172"/>
      <c r="H65" s="172"/>
      <c r="I65" s="172"/>
      <c r="J65" s="172"/>
      <c r="K65" s="172"/>
      <c r="L65" s="172"/>
    </row>
    <row r="66" spans="1:12" x14ac:dyDescent="0.2">
      <c r="C66" s="172"/>
      <c r="D66" s="172"/>
      <c r="E66" s="172"/>
      <c r="F66" s="172"/>
      <c r="G66" s="172"/>
      <c r="H66" s="172"/>
      <c r="I66" s="172"/>
      <c r="J66" s="172"/>
      <c r="K66" s="172"/>
      <c r="L66" s="172"/>
    </row>
    <row r="67" spans="1:12" x14ac:dyDescent="0.2">
      <c r="C67" s="154"/>
      <c r="D67" s="154"/>
      <c r="E67" s="154"/>
      <c r="F67" s="154"/>
      <c r="G67" s="154"/>
      <c r="H67" s="154"/>
      <c r="I67" s="154"/>
      <c r="J67" s="154"/>
      <c r="K67" s="154"/>
      <c r="L67" s="154"/>
    </row>
    <row r="68" spans="1:12" x14ac:dyDescent="0.2">
      <c r="C68" s="154"/>
      <c r="D68" s="154"/>
      <c r="E68" s="154"/>
      <c r="F68" s="154"/>
      <c r="G68" s="154"/>
      <c r="H68" s="154"/>
      <c r="I68" s="154"/>
      <c r="J68" s="154"/>
      <c r="K68" s="154"/>
      <c r="L68" s="154"/>
    </row>
    <row r="69" spans="1:12" x14ac:dyDescent="0.2">
      <c r="C69" s="172"/>
      <c r="D69" s="172"/>
      <c r="E69" s="172"/>
      <c r="F69" s="172"/>
      <c r="G69" s="172"/>
      <c r="H69" s="172"/>
      <c r="I69" s="172"/>
      <c r="J69" s="172"/>
      <c r="K69" s="172"/>
      <c r="L69" s="172"/>
    </row>
    <row r="70" spans="1:12" x14ac:dyDescent="0.2">
      <c r="C70" s="172"/>
      <c r="D70" s="172"/>
      <c r="E70" s="172"/>
      <c r="F70" s="172"/>
      <c r="G70" s="172"/>
      <c r="H70" s="172"/>
      <c r="I70" s="172"/>
      <c r="J70" s="172"/>
      <c r="K70" s="172"/>
      <c r="L70" s="172"/>
    </row>
    <row r="71" spans="1:12" x14ac:dyDescent="0.2">
      <c r="C71" s="172"/>
      <c r="D71" s="172"/>
      <c r="E71" s="172"/>
      <c r="F71" s="172"/>
      <c r="G71" s="172"/>
      <c r="H71" s="172"/>
      <c r="I71" s="172"/>
      <c r="J71" s="172"/>
      <c r="K71" s="172"/>
      <c r="L71" s="172"/>
    </row>
    <row r="72" spans="1:12" x14ac:dyDescent="0.2">
      <c r="B72" s="154"/>
      <c r="C72" s="154"/>
      <c r="D72" s="154"/>
      <c r="E72" s="154"/>
      <c r="F72" s="154"/>
      <c r="G72" s="154"/>
      <c r="H72" s="154"/>
      <c r="I72" s="154"/>
      <c r="J72" s="154"/>
      <c r="K72" s="172"/>
      <c r="L72" s="172"/>
    </row>
    <row r="73" spans="1:12" x14ac:dyDescent="0.2">
      <c r="B73" s="154"/>
      <c r="C73" s="154"/>
      <c r="D73" s="154"/>
      <c r="E73" s="154"/>
      <c r="F73" s="154"/>
      <c r="G73" s="154"/>
      <c r="H73" s="154"/>
      <c r="I73" s="154"/>
      <c r="J73" s="154"/>
      <c r="K73" s="172"/>
      <c r="L73" s="172"/>
    </row>
    <row r="74" spans="1:12" x14ac:dyDescent="0.2">
      <c r="A74" s="154"/>
      <c r="B74" s="154"/>
      <c r="C74" s="174" t="s">
        <v>141</v>
      </c>
      <c r="D74" s="176"/>
      <c r="E74" s="176"/>
      <c r="F74" s="175"/>
      <c r="G74" s="174" t="s">
        <v>94</v>
      </c>
      <c r="H74" s="176"/>
      <c r="I74" s="176"/>
      <c r="J74" s="154"/>
      <c r="K74" s="172"/>
      <c r="L74" s="172"/>
    </row>
    <row r="75" spans="1:12" x14ac:dyDescent="0.2">
      <c r="A75" s="154"/>
      <c r="B75" s="154"/>
      <c r="C75" s="176"/>
      <c r="D75" s="192">
        <f>'Nachfrage &amp; Erzeugung'!$C$9</f>
        <v>2018</v>
      </c>
      <c r="E75" s="174">
        <f>'Basis-Annahmen'!E5</f>
        <v>2035</v>
      </c>
      <c r="F75" s="175"/>
      <c r="G75" s="176"/>
      <c r="H75" s="192">
        <f>'Nachfrage &amp; Erzeugung'!$C$9</f>
        <v>2018</v>
      </c>
      <c r="I75" s="174">
        <f>'Basis-Annahmen'!E5</f>
        <v>2035</v>
      </c>
      <c r="J75" s="154"/>
      <c r="K75" s="172"/>
      <c r="L75" s="172"/>
    </row>
    <row r="76" spans="1:12" x14ac:dyDescent="0.2">
      <c r="A76" s="154"/>
      <c r="B76" s="154"/>
      <c r="C76" s="176" t="str">
        <f>'Nachfrage &amp; Erzeugung'!B11</f>
        <v>Private Haushalte</v>
      </c>
      <c r="D76" s="184">
        <f>'Nachfrage &amp; Erzeugung'!C11</f>
        <v>7988.01</v>
      </c>
      <c r="E76" s="184">
        <f>LOOKUP('Basis-Annahmen'!E5,'Nachfrage &amp; Erzeugung'!D9:G9,'Nachfrage &amp; Erzeugung'!D11:G11)</f>
        <v>6646.1315239285386</v>
      </c>
      <c r="F76" s="175"/>
      <c r="G76" s="175"/>
      <c r="H76" s="175"/>
      <c r="I76" s="175"/>
      <c r="J76" s="154"/>
      <c r="K76" s="172"/>
      <c r="L76" s="172"/>
    </row>
    <row r="77" spans="1:12" x14ac:dyDescent="0.2">
      <c r="A77" s="154"/>
      <c r="B77" s="154"/>
      <c r="C77" s="176" t="str">
        <f>'Nachfrage &amp; Erzeugung'!B12</f>
        <v>GHD / Industrie</v>
      </c>
      <c r="D77" s="184">
        <f>'Nachfrage &amp; Erzeugung'!C12</f>
        <v>23058.16</v>
      </c>
      <c r="E77" s="184">
        <f>LOOKUP('Basis-Annahmen'!E5,'Nachfrage &amp; Erzeugung'!D9:G9,'Nachfrage &amp; Erzeugung'!D12:G12)</f>
        <v>30195.630544599302</v>
      </c>
      <c r="F77" s="175"/>
      <c r="G77" s="176" t="s">
        <v>103</v>
      </c>
      <c r="H77" s="184">
        <f>'Nachfrage &amp; Erzeugung'!C21</f>
        <v>2202</v>
      </c>
      <c r="I77" s="184">
        <f>F31</f>
        <v>0</v>
      </c>
      <c r="J77" s="154"/>
      <c r="K77" s="172"/>
      <c r="L77" s="172"/>
    </row>
    <row r="78" spans="1:12" x14ac:dyDescent="0.2">
      <c r="A78" s="154"/>
      <c r="B78" s="154"/>
      <c r="C78" s="176" t="str">
        <f>'Nachfrage &amp; Erzeugung'!B13</f>
        <v>Kommunale Einrichtungen</v>
      </c>
      <c r="D78" s="184">
        <f>'Nachfrage &amp; Erzeugung'!C13</f>
        <v>690.78</v>
      </c>
      <c r="E78" s="184">
        <f>LOOKUP('Basis-Annahmen'!E5,'Nachfrage &amp; Erzeugung'!D9:G9,'Nachfrage &amp; Erzeugung'!D13:G13)</f>
        <v>479.8485644620377</v>
      </c>
      <c r="F78" s="175"/>
      <c r="G78" s="176" t="str">
        <f>'Nachfrage &amp; Erzeugung'!B29</f>
        <v>Nicht aus lokalen EE gedeckter Strombedarf</v>
      </c>
      <c r="H78" s="184">
        <f>'Nachfrage &amp; Erzeugung'!C29</f>
        <v>29576.09</v>
      </c>
      <c r="I78" s="184">
        <f>MAX(0,E82-SUM(I79:I82)-I77)</f>
        <v>47497.201542080787</v>
      </c>
      <c r="J78" s="154"/>
      <c r="K78" s="172"/>
      <c r="L78" s="172"/>
    </row>
    <row r="79" spans="1:12" x14ac:dyDescent="0.2">
      <c r="A79" s="154"/>
      <c r="B79" s="154"/>
      <c r="C79" s="176" t="str">
        <f>'Nachfrage &amp; Erzeugung'!B14</f>
        <v>Mobilität</v>
      </c>
      <c r="D79" s="184"/>
      <c r="E79" s="184">
        <f>LOOKUP('Basis-Annahmen'!E5,'Nachfrage &amp; Erzeugung'!D9:G9,'Nachfrage &amp; Erzeugung'!D14:G14)</f>
        <v>10175.59090909091</v>
      </c>
      <c r="F79" s="175"/>
      <c r="G79" s="176" t="s">
        <v>27</v>
      </c>
      <c r="H79" s="184">
        <v>0</v>
      </c>
      <c r="I79" s="184">
        <f>F27</f>
        <v>0</v>
      </c>
      <c r="J79" s="154"/>
      <c r="K79" s="172"/>
      <c r="L79" s="172"/>
    </row>
    <row r="80" spans="1:12" x14ac:dyDescent="0.2">
      <c r="A80" s="154"/>
      <c r="B80" s="154"/>
      <c r="C80" s="176" t="s">
        <v>108</v>
      </c>
      <c r="D80" s="184"/>
      <c r="E80" s="184">
        <f>'Nachfrage &amp; Erzeugung'!D15</f>
        <v>0</v>
      </c>
      <c r="F80" s="175"/>
      <c r="G80" s="176" t="s">
        <v>23</v>
      </c>
      <c r="H80" s="184">
        <v>0</v>
      </c>
      <c r="I80" s="184">
        <f>F28</f>
        <v>0</v>
      </c>
      <c r="J80" s="154"/>
      <c r="K80" s="172"/>
      <c r="L80" s="172"/>
    </row>
    <row r="81" spans="1:12" x14ac:dyDescent="0.2">
      <c r="A81" s="154"/>
      <c r="B81" s="154"/>
      <c r="C81" s="176"/>
      <c r="D81" s="185"/>
      <c r="E81" s="185"/>
      <c r="F81" s="175"/>
      <c r="G81" s="176" t="s">
        <v>28</v>
      </c>
      <c r="H81" s="184">
        <v>0</v>
      </c>
      <c r="I81" s="184">
        <f>F29</f>
        <v>0</v>
      </c>
      <c r="J81" s="154"/>
      <c r="K81" s="172"/>
      <c r="L81" s="172"/>
    </row>
    <row r="82" spans="1:12" x14ac:dyDescent="0.2">
      <c r="A82" s="154"/>
      <c r="B82" s="154"/>
      <c r="C82" s="176" t="s">
        <v>25</v>
      </c>
      <c r="D82" s="184">
        <f>'Nachfrage &amp; Erzeugung'!C10</f>
        <v>31778.09</v>
      </c>
      <c r="E82" s="184">
        <f>LOOKUP('Basis-Annahmen'!E5,'Nachfrage &amp; Erzeugung'!D9:G9,'Nachfrage &amp; Erzeugung'!D10:G10)</f>
        <v>47497.201542080787</v>
      </c>
      <c r="F82" s="175"/>
      <c r="G82" s="176" t="s">
        <v>24</v>
      </c>
      <c r="H82" s="184">
        <v>0</v>
      </c>
      <c r="I82" s="184">
        <f>F30</f>
        <v>0</v>
      </c>
      <c r="J82" s="154"/>
      <c r="K82" s="172"/>
      <c r="L82" s="172"/>
    </row>
    <row r="83" spans="1:12" x14ac:dyDescent="0.2">
      <c r="A83" s="154"/>
      <c r="B83" s="154"/>
      <c r="C83" s="176" t="s">
        <v>100</v>
      </c>
      <c r="D83" s="175"/>
      <c r="E83" s="186">
        <f>(E82-D82)/D82</f>
        <v>0.49465249617207285</v>
      </c>
      <c r="F83" s="175"/>
      <c r="G83" s="176"/>
      <c r="H83" s="184"/>
      <c r="I83" s="184"/>
      <c r="J83" s="154"/>
      <c r="K83" s="172"/>
      <c r="L83" s="172"/>
    </row>
    <row r="84" spans="1:12" x14ac:dyDescent="0.2">
      <c r="A84" s="154"/>
      <c r="B84" s="154"/>
      <c r="C84" s="176" t="s">
        <v>101</v>
      </c>
      <c r="D84" s="175"/>
      <c r="E84" s="186">
        <f>E79/E82</f>
        <v>0.21423558817619409</v>
      </c>
      <c r="F84" s="175"/>
      <c r="G84" s="175"/>
      <c r="H84" s="176">
        <v>2018.5</v>
      </c>
      <c r="I84" s="176">
        <v>2035.5</v>
      </c>
      <c r="J84" s="154"/>
      <c r="K84" s="172"/>
      <c r="L84" s="172"/>
    </row>
    <row r="85" spans="1:12" x14ac:dyDescent="0.2">
      <c r="A85" s="154"/>
      <c r="B85" s="154"/>
      <c r="C85" s="176" t="s">
        <v>102</v>
      </c>
      <c r="D85" s="175"/>
      <c r="E85" s="186">
        <f>E80/E82</f>
        <v>0</v>
      </c>
      <c r="F85" s="175"/>
      <c r="G85" s="175"/>
      <c r="H85" s="175"/>
      <c r="I85" s="175"/>
      <c r="J85" s="154"/>
      <c r="K85" s="172"/>
      <c r="L85" s="172"/>
    </row>
    <row r="86" spans="1:12" x14ac:dyDescent="0.2">
      <c r="A86" s="154"/>
      <c r="B86" s="154"/>
      <c r="C86" s="175"/>
      <c r="D86" s="175"/>
      <c r="E86" s="175"/>
      <c r="F86" s="175"/>
      <c r="G86" s="175"/>
      <c r="H86" s="175"/>
      <c r="I86" s="175"/>
      <c r="J86" s="154"/>
      <c r="K86" s="172"/>
      <c r="L86" s="172"/>
    </row>
    <row r="87" spans="1:12" x14ac:dyDescent="0.2">
      <c r="A87" s="154"/>
      <c r="B87" s="154"/>
      <c r="C87" s="154"/>
      <c r="D87" s="154"/>
      <c r="E87" s="154"/>
      <c r="F87" s="154"/>
      <c r="G87" s="154"/>
      <c r="H87" s="154"/>
      <c r="I87" s="154"/>
      <c r="J87" s="154"/>
      <c r="K87" s="172"/>
      <c r="L87" s="172"/>
    </row>
    <row r="88" spans="1:12" x14ac:dyDescent="0.2">
      <c r="B88" s="154"/>
      <c r="C88" s="154"/>
      <c r="D88" s="154"/>
      <c r="E88" s="154"/>
      <c r="F88" s="154"/>
      <c r="G88" s="154"/>
      <c r="H88" s="154"/>
      <c r="I88" s="154"/>
      <c r="J88" s="154"/>
      <c r="K88" s="172"/>
      <c r="L88" s="172"/>
    </row>
    <row r="89" spans="1:12" x14ac:dyDescent="0.2">
      <c r="C89" s="172"/>
      <c r="D89" s="172"/>
      <c r="E89" s="172"/>
      <c r="F89" s="172"/>
      <c r="G89" s="172"/>
      <c r="H89" s="172"/>
      <c r="I89" s="172"/>
      <c r="J89" s="172"/>
      <c r="K89" s="172"/>
      <c r="L89" s="172"/>
    </row>
    <row r="90" spans="1:12" x14ac:dyDescent="0.2">
      <c r="C90" s="154"/>
      <c r="D90" s="154"/>
      <c r="E90" s="154"/>
      <c r="F90" s="154"/>
      <c r="G90" s="154"/>
      <c r="H90" s="154"/>
      <c r="I90" s="154"/>
      <c r="J90" s="154"/>
      <c r="K90" s="154"/>
      <c r="L90" s="172"/>
    </row>
    <row r="91" spans="1:12" x14ac:dyDescent="0.2">
      <c r="C91" s="172"/>
      <c r="D91" s="172"/>
      <c r="E91" s="172"/>
      <c r="F91" s="172"/>
      <c r="G91" s="172"/>
      <c r="H91" s="172"/>
      <c r="I91" s="172"/>
      <c r="J91" s="172"/>
      <c r="K91" s="172"/>
      <c r="L91" s="172"/>
    </row>
    <row r="92" spans="1:12" x14ac:dyDescent="0.2">
      <c r="C92" s="172"/>
      <c r="D92" s="172"/>
      <c r="E92" s="172"/>
      <c r="F92" s="172"/>
      <c r="G92" s="172"/>
      <c r="H92" s="172"/>
      <c r="I92" s="172"/>
      <c r="J92" s="172"/>
      <c r="K92" s="172"/>
      <c r="L92" s="172"/>
    </row>
  </sheetData>
  <mergeCells count="65">
    <mergeCell ref="J32:K32"/>
    <mergeCell ref="B28:C28"/>
    <mergeCell ref="B29:C29"/>
    <mergeCell ref="B64:G64"/>
    <mergeCell ref="B57:G57"/>
    <mergeCell ref="B59:G59"/>
    <mergeCell ref="B58:G58"/>
    <mergeCell ref="B60:G60"/>
    <mergeCell ref="B63:G63"/>
    <mergeCell ref="B61:G61"/>
    <mergeCell ref="B62:G62"/>
    <mergeCell ref="A52:K52"/>
    <mergeCell ref="A50:K50"/>
    <mergeCell ref="B49:K49"/>
    <mergeCell ref="B48:K48"/>
    <mergeCell ref="H32:I32"/>
    <mergeCell ref="B33:K33"/>
    <mergeCell ref="I13:K13"/>
    <mergeCell ref="B19:K19"/>
    <mergeCell ref="B53:K53"/>
    <mergeCell ref="A3:L3"/>
    <mergeCell ref="I16:K16"/>
    <mergeCell ref="F26:G26"/>
    <mergeCell ref="B24:K24"/>
    <mergeCell ref="B25:K25"/>
    <mergeCell ref="B26:C26"/>
    <mergeCell ref="B23:K23"/>
    <mergeCell ref="J26:K26"/>
    <mergeCell ref="H26:I26"/>
    <mergeCell ref="A17:J17"/>
    <mergeCell ref="K17:L17"/>
    <mergeCell ref="J29:K29"/>
    <mergeCell ref="H31:I31"/>
    <mergeCell ref="J31:K31"/>
    <mergeCell ref="J28:K28"/>
    <mergeCell ref="F27:G27"/>
    <mergeCell ref="H27:I27"/>
    <mergeCell ref="H28:I28"/>
    <mergeCell ref="B32:C32"/>
    <mergeCell ref="F32:G32"/>
    <mergeCell ref="F28:G28"/>
    <mergeCell ref="F29:G29"/>
    <mergeCell ref="F30:G30"/>
    <mergeCell ref="F31:G31"/>
    <mergeCell ref="B27:C27"/>
    <mergeCell ref="H30:I30"/>
    <mergeCell ref="J30:K30"/>
    <mergeCell ref="B30:C30"/>
    <mergeCell ref="H29:I29"/>
    <mergeCell ref="J27:K27"/>
    <mergeCell ref="A1:L1"/>
    <mergeCell ref="A4:L4"/>
    <mergeCell ref="A2:L2"/>
    <mergeCell ref="A22:K22"/>
    <mergeCell ref="A8:K8"/>
    <mergeCell ref="D14:H14"/>
    <mergeCell ref="D15:H15"/>
    <mergeCell ref="D16:H16"/>
    <mergeCell ref="A18:K18"/>
    <mergeCell ref="I14:K14"/>
    <mergeCell ref="I15:K15"/>
    <mergeCell ref="D13:H13"/>
    <mergeCell ref="B7:K7"/>
    <mergeCell ref="B20:K20"/>
    <mergeCell ref="B21:K21"/>
  </mergeCells>
  <conditionalFormatting sqref="J27:K32">
    <cfRule type="cellIs" dxfId="0" priority="1" operator="greaterThan">
      <formula>1</formula>
    </cfRule>
  </conditionalFormatting>
  <hyperlinks>
    <hyperlink ref="B63" r:id="rId1" display="http://www.landkreis-muenchen.de/"/>
  </hyperlinks>
  <pageMargins left="0.23622047244094491" right="0.23622047244094491" top="0.74803149606299213" bottom="0.74803149606299213" header="0.31496062992125984" footer="0.31496062992125984"/>
  <pageSetup paperSize="9" scale="95" fitToHeight="3" orientation="portrait" r:id="rId2"/>
  <headerFooter>
    <oddHeader xml:space="preserve">&amp;L&amp;G&amp;R&amp;G&amp;" ,Standard"
</oddHeader>
    <oddFooter>&amp;C&amp;"Arial,Standard"&amp;12&amp;P</oddFooter>
  </headerFooter>
  <rowBreaks count="2" manualBreakCount="2">
    <brk id="21" max="16383" man="1"/>
    <brk id="49" max="16383" man="1"/>
  </rowBreaks>
  <colBreaks count="1" manualBreakCount="1">
    <brk id="12" max="1048575" man="1"/>
  </colBreaks>
  <drawing r:id="rId3"/>
  <legacyDrawing r:id="rId4"/>
  <legacyDrawingHF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L93"/>
  <sheetViews>
    <sheetView tabSelected="1" view="pageLayout" zoomScale="115" zoomScaleNormal="100" zoomScalePageLayoutView="115" workbookViewId="0">
      <selection activeCell="B57" sqref="B57:K57"/>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9.28515625" style="1" customWidth="1"/>
    <col min="6" max="6" width="10.42578125" style="1" customWidth="1"/>
    <col min="7" max="7" width="12.42578125" style="1" customWidth="1"/>
    <col min="8" max="8" width="9.7109375" style="1" customWidth="1"/>
    <col min="9" max="9" width="7.7109375" style="1" customWidth="1"/>
    <col min="10" max="10" width="4.85546875" style="1" customWidth="1"/>
    <col min="11" max="11" width="15.42578125" style="6" customWidth="1"/>
    <col min="12" max="12" width="3" style="1" customWidth="1"/>
    <col min="13" max="16384" width="11.42578125" style="1"/>
  </cols>
  <sheetData>
    <row r="1" spans="1:12" ht="18" x14ac:dyDescent="0.25">
      <c r="A1" s="195" t="s">
        <v>191</v>
      </c>
      <c r="B1" s="195"/>
      <c r="C1" s="195"/>
      <c r="D1" s="195"/>
      <c r="E1" s="195"/>
      <c r="F1" s="195"/>
      <c r="G1" s="195"/>
      <c r="H1" s="195"/>
      <c r="I1" s="195"/>
      <c r="J1" s="195"/>
      <c r="K1" s="195"/>
      <c r="L1" s="195"/>
    </row>
    <row r="2" spans="1:12" ht="16.5" customHeight="1" x14ac:dyDescent="0.2">
      <c r="A2" s="197" t="s">
        <v>192</v>
      </c>
      <c r="B2" s="197"/>
      <c r="C2" s="197"/>
      <c r="D2" s="197"/>
      <c r="E2" s="197"/>
      <c r="F2" s="197"/>
      <c r="G2" s="197"/>
      <c r="H2" s="197"/>
      <c r="I2" s="197"/>
      <c r="J2" s="197"/>
      <c r="K2" s="197"/>
      <c r="L2" s="197"/>
    </row>
    <row r="3" spans="1:12" ht="8.25" customHeight="1" x14ac:dyDescent="0.2">
      <c r="A3" s="214"/>
      <c r="B3" s="214"/>
      <c r="C3" s="214"/>
      <c r="D3" s="214"/>
      <c r="E3" s="214"/>
      <c r="F3" s="214"/>
      <c r="G3" s="214"/>
      <c r="H3" s="214"/>
      <c r="I3" s="214"/>
      <c r="J3" s="214"/>
      <c r="K3" s="214"/>
      <c r="L3" s="214"/>
    </row>
    <row r="4" spans="1:12" ht="24" customHeight="1" x14ac:dyDescent="0.2">
      <c r="A4" s="196" t="s">
        <v>47</v>
      </c>
      <c r="B4" s="196"/>
      <c r="C4" s="196"/>
      <c r="D4" s="196"/>
      <c r="E4" s="196"/>
      <c r="F4" s="196"/>
      <c r="G4" s="196"/>
      <c r="H4" s="196"/>
      <c r="I4" s="196"/>
      <c r="J4" s="196"/>
      <c r="K4" s="196"/>
      <c r="L4" s="196"/>
    </row>
    <row r="5" spans="1:12" ht="24" customHeight="1" x14ac:dyDescent="0.35">
      <c r="A5" s="22"/>
      <c r="F5" s="247"/>
      <c r="G5" s="247"/>
      <c r="H5" s="247"/>
      <c r="K5" s="1"/>
      <c r="L5" s="22"/>
    </row>
    <row r="6" spans="1:12" ht="24" customHeight="1" x14ac:dyDescent="0.2">
      <c r="A6" s="22"/>
      <c r="B6" s="237"/>
      <c r="C6" s="237"/>
      <c r="D6" s="237"/>
      <c r="E6" s="237"/>
      <c r="F6" s="237"/>
      <c r="G6" s="237"/>
      <c r="H6" s="237"/>
      <c r="I6" s="237"/>
      <c r="J6" s="237"/>
      <c r="K6" s="237"/>
      <c r="L6" s="22"/>
    </row>
    <row r="7" spans="1:12" ht="24" customHeight="1" x14ac:dyDescent="0.2">
      <c r="A7" s="22"/>
      <c r="B7" s="237"/>
      <c r="C7" s="237"/>
      <c r="D7" s="237"/>
      <c r="E7" s="237"/>
      <c r="F7" s="237"/>
      <c r="G7" s="237"/>
      <c r="H7" s="237"/>
      <c r="I7" s="237"/>
      <c r="J7" s="237"/>
      <c r="K7" s="237"/>
      <c r="L7" s="22"/>
    </row>
    <row r="8" spans="1:12" ht="69.75" customHeight="1" x14ac:dyDescent="0.2">
      <c r="A8" s="199"/>
      <c r="B8" s="199"/>
      <c r="C8" s="199"/>
      <c r="D8" s="199"/>
      <c r="E8" s="199"/>
      <c r="F8" s="199"/>
      <c r="G8" s="199"/>
      <c r="H8" s="199"/>
      <c r="I8" s="199"/>
      <c r="J8" s="199"/>
      <c r="K8" s="199"/>
    </row>
    <row r="9" spans="1:12" ht="62.25" customHeight="1" x14ac:dyDescent="0.25">
      <c r="A9" s="7"/>
      <c r="B9" s="8"/>
    </row>
    <row r="10" spans="1:12" ht="36.75" customHeight="1" x14ac:dyDescent="0.2">
      <c r="B10" s="9"/>
      <c r="C10" s="9"/>
      <c r="D10" s="9"/>
      <c r="E10" s="9"/>
      <c r="F10" s="9"/>
      <c r="G10" s="9"/>
      <c r="H10" s="9"/>
      <c r="I10" s="9"/>
      <c r="J10" s="9"/>
      <c r="K10" s="9"/>
    </row>
    <row r="11" spans="1:12" ht="19.5" customHeight="1" x14ac:dyDescent="0.2">
      <c r="B11" s="10"/>
      <c r="C11" s="10"/>
      <c r="D11" s="10"/>
      <c r="E11" s="10"/>
      <c r="F11" s="10"/>
      <c r="G11" s="10"/>
      <c r="H11" s="10"/>
      <c r="I11" s="10"/>
      <c r="J11" s="10"/>
      <c r="K11" s="10"/>
      <c r="L11" s="10"/>
    </row>
    <row r="12" spans="1:12" ht="19.5" customHeight="1" x14ac:dyDescent="0.2">
      <c r="B12" s="238"/>
      <c r="C12" s="238"/>
      <c r="D12" s="238"/>
      <c r="E12" s="238"/>
      <c r="F12" s="238"/>
      <c r="G12" s="238"/>
      <c r="H12" s="238"/>
      <c r="I12" s="238"/>
      <c r="J12" s="238"/>
      <c r="K12" s="238"/>
      <c r="L12" s="10"/>
    </row>
    <row r="13" spans="1:12" ht="18" customHeight="1" x14ac:dyDescent="0.2">
      <c r="A13" s="10"/>
      <c r="B13" s="10"/>
      <c r="D13" s="200" t="str">
        <f>"Prognostizierte Wärmenachfrage für das Jahr "&amp;'Basis-Annahmen'!E5&amp;":"</f>
        <v>Prognostizierte Wärmenachfrage für das Jahr 2035:</v>
      </c>
      <c r="E13" s="200"/>
      <c r="F13" s="200"/>
      <c r="G13" s="200"/>
      <c r="H13" s="200"/>
      <c r="I13" s="201" t="str">
        <f>""&amp;FIXED(E82,0,FALSE)&amp;" MWh/a"</f>
        <v>97.912 MWh/a</v>
      </c>
      <c r="J13" s="201"/>
      <c r="K13" s="201"/>
      <c r="L13" s="10"/>
    </row>
    <row r="14" spans="1:12" ht="18" customHeight="1" x14ac:dyDescent="0.2">
      <c r="A14" s="10"/>
      <c r="B14" s="10"/>
      <c r="D14" s="200" t="s">
        <v>185</v>
      </c>
      <c r="E14" s="200"/>
      <c r="F14" s="200"/>
      <c r="G14" s="200"/>
      <c r="H14" s="200"/>
      <c r="I14" s="201" t="str">
        <f>""&amp;FIXED(D82,0,FALSE)&amp;" MWh/a"</f>
        <v>75.078 MWh/a</v>
      </c>
      <c r="J14" s="201"/>
      <c r="K14" s="201"/>
      <c r="L14" s="10"/>
    </row>
    <row r="15" spans="1:12" ht="18" customHeight="1" x14ac:dyDescent="0.2">
      <c r="B15" s="10"/>
      <c r="D15" s="200" t="str">
        <f>"Zunahme der Wärmenachfrage bis "&amp;'Basis-Annahmen'!E5&amp;":"</f>
        <v>Zunahme der Wärmenachfrage bis 2035:</v>
      </c>
      <c r="E15" s="200"/>
      <c r="F15" s="200"/>
      <c r="G15" s="200"/>
      <c r="H15" s="200"/>
      <c r="I15" s="202" t="str">
        <f>""&amp;FIXED(E84*100,0,TRUE)&amp;" %"</f>
        <v>30 %</v>
      </c>
      <c r="J15" s="202"/>
      <c r="K15" s="202"/>
      <c r="L15" s="10"/>
    </row>
    <row r="16" spans="1:12" ht="30.75" customHeight="1" x14ac:dyDescent="0.2">
      <c r="A16" s="10"/>
      <c r="B16" s="238"/>
      <c r="C16" s="238"/>
      <c r="D16" s="238"/>
      <c r="E16" s="238"/>
      <c r="F16" s="238"/>
      <c r="G16" s="238"/>
      <c r="H16" s="238"/>
      <c r="I16" s="238"/>
      <c r="J16" s="238"/>
      <c r="K16" s="238"/>
      <c r="L16" s="10"/>
    </row>
    <row r="17" spans="1:12" ht="25.5" customHeight="1" x14ac:dyDescent="0.2">
      <c r="A17" s="198" t="s">
        <v>42</v>
      </c>
      <c r="B17" s="198"/>
      <c r="C17" s="198"/>
      <c r="D17" s="198"/>
      <c r="E17" s="198"/>
      <c r="F17" s="198"/>
      <c r="G17" s="198"/>
      <c r="H17" s="198"/>
      <c r="I17" s="198"/>
      <c r="J17" s="198"/>
      <c r="K17" s="198"/>
      <c r="L17" s="10"/>
    </row>
    <row r="18" spans="1:12" ht="42.75" customHeight="1" x14ac:dyDescent="0.2">
      <c r="B18" s="237"/>
      <c r="C18" s="237"/>
      <c r="D18" s="237"/>
      <c r="E18" s="237"/>
      <c r="F18" s="237"/>
      <c r="G18" s="237"/>
      <c r="H18" s="237"/>
      <c r="I18" s="237"/>
      <c r="J18" s="237"/>
      <c r="K18" s="237"/>
      <c r="L18" s="12"/>
    </row>
    <row r="19" spans="1:12" ht="31.5" customHeight="1" x14ac:dyDescent="0.2">
      <c r="B19" s="204" t="s">
        <v>43</v>
      </c>
      <c r="C19" s="204"/>
      <c r="D19" s="204"/>
      <c r="E19" s="204"/>
      <c r="F19" s="204"/>
      <c r="G19" s="204"/>
      <c r="H19" s="204"/>
      <c r="I19" s="204"/>
      <c r="J19" s="204"/>
      <c r="K19" s="204"/>
      <c r="L19" s="12"/>
    </row>
    <row r="20" spans="1:12" ht="24.75" customHeight="1" x14ac:dyDescent="0.2">
      <c r="B20" s="204" t="s">
        <v>193</v>
      </c>
      <c r="C20" s="204"/>
      <c r="D20" s="204"/>
      <c r="E20" s="204"/>
      <c r="F20" s="204"/>
      <c r="G20" s="204"/>
      <c r="H20" s="204"/>
      <c r="I20" s="204"/>
      <c r="J20" s="204"/>
      <c r="K20" s="204"/>
      <c r="L20" s="12"/>
    </row>
    <row r="21" spans="1:12" ht="23.25" customHeight="1" x14ac:dyDescent="0.2">
      <c r="B21" s="239"/>
      <c r="C21" s="239"/>
      <c r="D21" s="239"/>
      <c r="E21" s="239"/>
      <c r="F21" s="160">
        <v>2025</v>
      </c>
      <c r="G21" s="160">
        <v>2030</v>
      </c>
      <c r="H21" s="160">
        <v>2035</v>
      </c>
      <c r="I21" s="243">
        <v>2040</v>
      </c>
      <c r="J21" s="244"/>
      <c r="K21" s="11"/>
      <c r="L21" s="12"/>
    </row>
    <row r="22" spans="1:12" ht="49.5" customHeight="1" x14ac:dyDescent="0.2">
      <c r="B22" s="242" t="s">
        <v>187</v>
      </c>
      <c r="C22" s="242"/>
      <c r="D22" s="242"/>
      <c r="E22" s="242"/>
      <c r="F22" s="161">
        <v>0.01</v>
      </c>
      <c r="G22" s="161">
        <v>0.01</v>
      </c>
      <c r="H22" s="161">
        <v>0.01</v>
      </c>
      <c r="I22" s="245">
        <v>0.01</v>
      </c>
      <c r="J22" s="246"/>
      <c r="K22" s="155"/>
      <c r="L22" s="12"/>
    </row>
    <row r="23" spans="1:12" ht="31.5" customHeight="1" x14ac:dyDescent="0.2">
      <c r="B23" s="11"/>
      <c r="C23" s="11"/>
      <c r="D23" s="11"/>
      <c r="E23" s="11"/>
      <c r="F23" s="11"/>
      <c r="G23" s="11"/>
      <c r="H23" s="11"/>
      <c r="I23" s="11"/>
      <c r="J23" s="11"/>
      <c r="K23" s="11"/>
      <c r="L23" s="12"/>
    </row>
    <row r="24" spans="1:12" ht="27" customHeight="1" x14ac:dyDescent="0.2">
      <c r="A24" s="198" t="s">
        <v>45</v>
      </c>
      <c r="B24" s="198"/>
      <c r="C24" s="198"/>
      <c r="D24" s="198"/>
      <c r="E24" s="198"/>
      <c r="F24" s="198"/>
      <c r="G24" s="198"/>
      <c r="H24" s="198"/>
      <c r="I24" s="198"/>
      <c r="J24" s="198"/>
      <c r="K24" s="198"/>
    </row>
    <row r="25" spans="1:12" ht="5.25" customHeight="1" x14ac:dyDescent="0.2">
      <c r="A25" s="13"/>
      <c r="B25" s="241"/>
      <c r="C25" s="241"/>
      <c r="D25" s="241"/>
      <c r="E25" s="241"/>
      <c r="F25" s="241"/>
      <c r="G25" s="241"/>
      <c r="H25" s="241"/>
      <c r="I25" s="241"/>
      <c r="J25" s="241"/>
      <c r="K25" s="241"/>
    </row>
    <row r="26" spans="1:12" ht="65.25" customHeight="1" x14ac:dyDescent="0.2">
      <c r="B26" s="204" t="s">
        <v>84</v>
      </c>
      <c r="C26" s="204"/>
      <c r="D26" s="204"/>
      <c r="E26" s="204"/>
      <c r="F26" s="204"/>
      <c r="G26" s="204"/>
      <c r="H26" s="204"/>
      <c r="I26" s="204"/>
      <c r="J26" s="204"/>
      <c r="K26" s="204"/>
      <c r="L26" s="12"/>
    </row>
    <row r="27" spans="1:12" ht="17.25" customHeight="1" x14ac:dyDescent="0.2">
      <c r="B27" s="216" t="s">
        <v>193</v>
      </c>
      <c r="C27" s="216"/>
      <c r="D27" s="216"/>
      <c r="E27" s="216"/>
      <c r="F27" s="216"/>
      <c r="G27" s="216"/>
      <c r="H27" s="216"/>
      <c r="I27" s="216"/>
      <c r="J27" s="216"/>
      <c r="K27" s="216"/>
      <c r="L27" s="12"/>
    </row>
    <row r="28" spans="1:12" ht="25.5" customHeight="1" x14ac:dyDescent="0.2">
      <c r="A28" s="14"/>
      <c r="B28" s="217" t="str">
        <f>"Ausbauziel Wärmeerzeugung bis zum Jahr "&amp;'Basis-Annahmen'!E5</f>
        <v>Ausbauziel Wärmeerzeugung bis zum Jahr 2035</v>
      </c>
      <c r="C28" s="217"/>
      <c r="D28" s="217"/>
      <c r="E28" s="217"/>
      <c r="F28" s="217"/>
      <c r="G28" s="217"/>
      <c r="H28" s="217"/>
      <c r="I28" s="217"/>
      <c r="J28" s="217"/>
      <c r="K28" s="217"/>
    </row>
    <row r="29" spans="1:12" ht="34.5" customHeight="1" x14ac:dyDescent="0.2">
      <c r="A29" s="14"/>
      <c r="B29" s="226" t="s">
        <v>29</v>
      </c>
      <c r="C29" s="226"/>
      <c r="D29" s="226"/>
      <c r="E29" s="226"/>
      <c r="F29" s="240" t="s">
        <v>79</v>
      </c>
      <c r="G29" s="240"/>
      <c r="H29" s="225" t="s">
        <v>80</v>
      </c>
      <c r="I29" s="225"/>
      <c r="J29" s="240" t="s">
        <v>85</v>
      </c>
      <c r="K29" s="240"/>
    </row>
    <row r="30" spans="1:12" ht="21.6" customHeight="1" x14ac:dyDescent="0.2">
      <c r="A30" s="14"/>
      <c r="B30" s="209" t="s">
        <v>77</v>
      </c>
      <c r="C30" s="209"/>
      <c r="D30" s="209"/>
      <c r="E30" s="209"/>
      <c r="F30" s="230">
        <v>0</v>
      </c>
      <c r="G30" s="230"/>
      <c r="H30" s="232" t="s">
        <v>147</v>
      </c>
      <c r="I30" s="232"/>
      <c r="J30" s="231">
        <f>F30*E82</f>
        <v>0</v>
      </c>
      <c r="K30" s="231"/>
    </row>
    <row r="31" spans="1:12" ht="21.6" customHeight="1" x14ac:dyDescent="0.2">
      <c r="A31" s="14"/>
      <c r="B31" s="227" t="s">
        <v>156</v>
      </c>
      <c r="C31" s="228"/>
      <c r="D31" s="228"/>
      <c r="E31" s="228"/>
      <c r="F31" s="228"/>
      <c r="G31" s="229"/>
      <c r="H31" s="233">
        <v>0</v>
      </c>
      <c r="I31" s="233"/>
      <c r="J31" s="234">
        <f>J30*H31</f>
        <v>0</v>
      </c>
      <c r="K31" s="234"/>
    </row>
    <row r="32" spans="1:12" ht="21.6" customHeight="1" x14ac:dyDescent="0.2">
      <c r="A32" s="14"/>
      <c r="B32" s="209" t="s">
        <v>78</v>
      </c>
      <c r="C32" s="209"/>
      <c r="D32" s="209"/>
      <c r="E32" s="209"/>
      <c r="F32" s="235">
        <f>100%-F30</f>
        <v>1</v>
      </c>
      <c r="G32" s="235"/>
      <c r="H32" s="236"/>
      <c r="I32" s="236"/>
      <c r="J32" s="231">
        <f>F32*E82</f>
        <v>97911.785695352373</v>
      </c>
      <c r="K32" s="231"/>
    </row>
    <row r="33" spans="1:12" ht="21.6" customHeight="1" x14ac:dyDescent="0.2">
      <c r="A33" s="14"/>
      <c r="B33" s="227" t="s">
        <v>154</v>
      </c>
      <c r="C33" s="228"/>
      <c r="D33" s="228"/>
      <c r="E33" s="228"/>
      <c r="F33" s="228"/>
      <c r="G33" s="229"/>
      <c r="H33" s="233">
        <v>0</v>
      </c>
      <c r="I33" s="233"/>
      <c r="J33" s="234">
        <f>$J$32*H33</f>
        <v>0</v>
      </c>
      <c r="K33" s="234"/>
    </row>
    <row r="34" spans="1:12" ht="21.6" customHeight="1" x14ac:dyDescent="0.2">
      <c r="A34" s="14"/>
      <c r="B34" s="250" t="s">
        <v>155</v>
      </c>
      <c r="C34" s="251"/>
      <c r="D34" s="251"/>
      <c r="E34" s="251"/>
      <c r="F34" s="251"/>
      <c r="G34" s="252"/>
      <c r="H34" s="233">
        <v>0</v>
      </c>
      <c r="I34" s="233"/>
      <c r="J34" s="234">
        <f>$J$32*H34</f>
        <v>0</v>
      </c>
      <c r="K34" s="234"/>
    </row>
    <row r="35" spans="1:12" ht="21.6" customHeight="1" x14ac:dyDescent="0.2">
      <c r="A35" s="14"/>
      <c r="B35" s="250" t="s">
        <v>157</v>
      </c>
      <c r="C35" s="251"/>
      <c r="D35" s="251"/>
      <c r="E35" s="251"/>
      <c r="F35" s="251"/>
      <c r="G35" s="252"/>
      <c r="H35" s="233">
        <v>0</v>
      </c>
      <c r="I35" s="233"/>
      <c r="J35" s="234">
        <f t="shared" ref="J35" si="0">$J$32*H35</f>
        <v>0</v>
      </c>
      <c r="K35" s="234"/>
    </row>
    <row r="36" spans="1:12" ht="21" customHeight="1" x14ac:dyDescent="0.2">
      <c r="A36" s="14"/>
      <c r="B36" s="250" t="s">
        <v>158</v>
      </c>
      <c r="C36" s="251"/>
      <c r="D36" s="251"/>
      <c r="E36" s="251"/>
      <c r="F36" s="251"/>
      <c r="G36" s="252"/>
      <c r="H36" s="233">
        <v>0</v>
      </c>
      <c r="I36" s="233"/>
      <c r="J36" s="234">
        <f t="shared" ref="J36" si="1">$J$32*H36</f>
        <v>0</v>
      </c>
      <c r="K36" s="234"/>
    </row>
    <row r="37" spans="1:12" ht="21.6" customHeight="1" x14ac:dyDescent="0.2">
      <c r="A37" s="14"/>
      <c r="B37" s="250" t="s">
        <v>174</v>
      </c>
      <c r="C37" s="251"/>
      <c r="D37" s="251"/>
      <c r="E37" s="251"/>
      <c r="F37" s="251"/>
      <c r="G37" s="252"/>
      <c r="H37" s="255">
        <f>100%-(H33+H34+H35+H36)</f>
        <v>1</v>
      </c>
      <c r="I37" s="256"/>
      <c r="J37" s="257">
        <f>$J$32*H37</f>
        <v>97911.785695352373</v>
      </c>
      <c r="K37" s="258"/>
    </row>
    <row r="38" spans="1:12" ht="44.25" customHeight="1" x14ac:dyDescent="0.2">
      <c r="B38" s="204" t="str">
        <f>"Bei erfolgreicher Umsetzung dieser Zielsetzung ergäbe sich für die Gemeinde folgende Deckung der Wärmenachfrage  für das Jahr "&amp;'Basis-Annahmen'!E5&amp;":"</f>
        <v>Bei erfolgreicher Umsetzung dieser Zielsetzung ergäbe sich für die Gemeinde folgende Deckung der Wärmenachfrage  für das Jahr 2035:</v>
      </c>
      <c r="C38" s="204"/>
      <c r="D38" s="204"/>
      <c r="E38" s="204"/>
      <c r="F38" s="204"/>
      <c r="G38" s="204"/>
      <c r="H38" s="204"/>
      <c r="I38" s="204"/>
      <c r="J38" s="204"/>
      <c r="K38" s="204"/>
    </row>
    <row r="39" spans="1:12" s="14" customFormat="1" ht="24" customHeight="1" x14ac:dyDescent="0.2">
      <c r="B39" s="254" t="s">
        <v>82</v>
      </c>
      <c r="C39" s="254"/>
      <c r="D39" s="254"/>
      <c r="E39" s="254"/>
      <c r="F39" s="254"/>
      <c r="G39" s="253" t="s">
        <v>81</v>
      </c>
      <c r="H39" s="253"/>
      <c r="I39" s="253" t="s">
        <v>75</v>
      </c>
      <c r="J39" s="253"/>
      <c r="K39" s="253"/>
    </row>
    <row r="40" spans="1:12" s="14" customFormat="1" ht="21" customHeight="1" x14ac:dyDescent="0.2">
      <c r="B40" s="249" t="s">
        <v>56</v>
      </c>
      <c r="C40" s="249"/>
      <c r="D40" s="249"/>
      <c r="E40" s="249"/>
      <c r="F40" s="249"/>
      <c r="G40" s="248">
        <f>F30*H31+F32*SUM(H33:I36)</f>
        <v>0</v>
      </c>
      <c r="H40" s="248"/>
      <c r="I40" s="234">
        <f>G40*E82</f>
        <v>0</v>
      </c>
      <c r="J40" s="234"/>
      <c r="K40" s="234"/>
    </row>
    <row r="41" spans="1:12" s="14" customFormat="1" ht="21" customHeight="1" x14ac:dyDescent="0.2">
      <c r="B41" s="249" t="s">
        <v>76</v>
      </c>
      <c r="C41" s="249"/>
      <c r="D41" s="249"/>
      <c r="E41" s="249"/>
      <c r="F41" s="249"/>
      <c r="G41" s="248">
        <f>1-G40</f>
        <v>1</v>
      </c>
      <c r="H41" s="248"/>
      <c r="I41" s="234">
        <f>G41*E82</f>
        <v>97911.785695352373</v>
      </c>
      <c r="J41" s="234"/>
      <c r="K41" s="234"/>
    </row>
    <row r="42" spans="1:12" x14ac:dyDescent="0.2">
      <c r="L42" s="15"/>
    </row>
    <row r="43" spans="1:12" ht="45.75" customHeight="1" x14ac:dyDescent="0.2">
      <c r="L43" s="15"/>
    </row>
    <row r="52" spans="1:12" ht="46.5" customHeight="1" x14ac:dyDescent="0.2">
      <c r="B52" s="204" t="s">
        <v>176</v>
      </c>
      <c r="C52" s="204"/>
      <c r="D52" s="204"/>
      <c r="E52" s="204"/>
      <c r="F52" s="204"/>
      <c r="G52" s="204"/>
      <c r="H52" s="204"/>
      <c r="I52" s="204"/>
      <c r="J52" s="204"/>
      <c r="K52" s="204"/>
    </row>
    <row r="53" spans="1:12" ht="42" customHeight="1" x14ac:dyDescent="0.2">
      <c r="B53" s="204" t="s">
        <v>41</v>
      </c>
      <c r="C53" s="204"/>
      <c r="D53" s="204"/>
      <c r="E53" s="204"/>
      <c r="F53" s="204"/>
      <c r="G53" s="204"/>
      <c r="H53" s="204"/>
      <c r="I53" s="204"/>
      <c r="J53" s="204"/>
      <c r="K53" s="204"/>
    </row>
    <row r="54" spans="1:12" ht="18" x14ac:dyDescent="0.2">
      <c r="A54" s="223" t="s">
        <v>39</v>
      </c>
      <c r="B54" s="223"/>
      <c r="C54" s="223"/>
      <c r="D54" s="223"/>
      <c r="E54" s="223"/>
      <c r="F54" s="223"/>
      <c r="G54" s="223"/>
      <c r="H54" s="223"/>
      <c r="I54" s="223"/>
      <c r="J54" s="223"/>
      <c r="K54" s="223"/>
    </row>
    <row r="55" spans="1:12" x14ac:dyDescent="0.2">
      <c r="K55" s="1"/>
    </row>
    <row r="56" spans="1:12" ht="49.5" customHeight="1" x14ac:dyDescent="0.2">
      <c r="A56" s="222" t="s">
        <v>40</v>
      </c>
      <c r="B56" s="222"/>
      <c r="C56" s="222"/>
      <c r="D56" s="222"/>
      <c r="E56" s="222"/>
      <c r="F56" s="222"/>
      <c r="G56" s="222"/>
      <c r="H56" s="222"/>
      <c r="I56" s="222"/>
      <c r="J56" s="222"/>
      <c r="K56" s="222"/>
    </row>
    <row r="57" spans="1:12" ht="80.25" customHeight="1" x14ac:dyDescent="0.2">
      <c r="B57" s="213" t="s">
        <v>189</v>
      </c>
      <c r="C57" s="213"/>
      <c r="D57" s="213"/>
      <c r="E57" s="213"/>
      <c r="F57" s="213"/>
      <c r="G57" s="213"/>
      <c r="H57" s="213"/>
      <c r="I57" s="213"/>
      <c r="J57" s="213"/>
      <c r="K57" s="213"/>
      <c r="L57" s="29"/>
    </row>
    <row r="58" spans="1:12" ht="26.25" customHeight="1" x14ac:dyDescent="0.2">
      <c r="C58" s="29"/>
      <c r="D58" s="29"/>
      <c r="E58" s="29"/>
      <c r="F58" s="29"/>
      <c r="G58" s="29"/>
      <c r="H58" s="29"/>
      <c r="I58" s="29"/>
      <c r="J58" s="29"/>
      <c r="K58" s="29"/>
      <c r="L58" s="29"/>
    </row>
    <row r="59" spans="1:12" ht="36.75" customHeight="1" x14ac:dyDescent="0.25">
      <c r="A59" s="16" t="s">
        <v>33</v>
      </c>
      <c r="B59" s="17"/>
      <c r="C59" s="17"/>
      <c r="D59" s="17"/>
      <c r="G59" s="17"/>
      <c r="I59" s="16" t="s">
        <v>34</v>
      </c>
      <c r="J59" s="17"/>
      <c r="K59" s="17"/>
    </row>
    <row r="60" spans="1:12" ht="17.100000000000001" customHeight="1" x14ac:dyDescent="0.2">
      <c r="B60" s="213" t="s">
        <v>177</v>
      </c>
      <c r="C60" s="213"/>
      <c r="D60" s="213"/>
      <c r="E60" s="213"/>
      <c r="F60" s="213"/>
      <c r="G60" s="213"/>
      <c r="H60" s="29"/>
      <c r="I60" s="18" t="s">
        <v>35</v>
      </c>
      <c r="J60" s="17"/>
      <c r="K60" s="17"/>
    </row>
    <row r="61" spans="1:12" ht="17.100000000000001" customHeight="1" x14ac:dyDescent="0.2">
      <c r="B61" s="213" t="s">
        <v>178</v>
      </c>
      <c r="C61" s="213"/>
      <c r="D61" s="213"/>
      <c r="E61" s="213"/>
      <c r="F61" s="213"/>
      <c r="G61" s="213"/>
      <c r="H61" s="29"/>
      <c r="I61" s="18" t="s">
        <v>36</v>
      </c>
      <c r="J61" s="17"/>
      <c r="K61" s="17"/>
    </row>
    <row r="62" spans="1:12" ht="17.100000000000001" customHeight="1" x14ac:dyDescent="0.2">
      <c r="B62" s="213" t="s">
        <v>179</v>
      </c>
      <c r="C62" s="213"/>
      <c r="D62" s="213"/>
      <c r="E62" s="213"/>
      <c r="F62" s="213"/>
      <c r="G62" s="213"/>
      <c r="H62" s="29"/>
      <c r="I62" s="18" t="s">
        <v>37</v>
      </c>
      <c r="J62" s="17"/>
      <c r="K62" s="17"/>
    </row>
    <row r="63" spans="1:12" ht="17.100000000000001" customHeight="1" x14ac:dyDescent="0.2">
      <c r="B63" s="213" t="s">
        <v>180</v>
      </c>
      <c r="C63" s="213"/>
      <c r="D63" s="213"/>
      <c r="E63" s="213"/>
      <c r="F63" s="213"/>
      <c r="G63" s="213"/>
      <c r="H63" s="30"/>
      <c r="I63" s="31" t="s">
        <v>38</v>
      </c>
      <c r="J63" s="19"/>
      <c r="K63" s="19"/>
    </row>
    <row r="64" spans="1:12" ht="17.100000000000001" customHeight="1" x14ac:dyDescent="0.2">
      <c r="B64" s="213" t="s">
        <v>181</v>
      </c>
      <c r="C64" s="213"/>
      <c r="D64" s="213"/>
      <c r="E64" s="213"/>
      <c r="F64" s="213"/>
      <c r="G64" s="213"/>
      <c r="H64" s="30"/>
      <c r="J64" s="19"/>
      <c r="K64" s="19"/>
    </row>
    <row r="65" spans="1:12" ht="17.100000000000001" customHeight="1" x14ac:dyDescent="0.2">
      <c r="B65" s="213" t="s">
        <v>182</v>
      </c>
      <c r="C65" s="213"/>
      <c r="D65" s="213"/>
      <c r="E65" s="213"/>
      <c r="F65" s="213"/>
      <c r="G65" s="213"/>
      <c r="H65" s="30"/>
      <c r="I65" s="20"/>
      <c r="J65" s="19"/>
      <c r="K65" s="19"/>
    </row>
    <row r="66" spans="1:12" ht="17.100000000000001" customHeight="1" x14ac:dyDescent="0.2">
      <c r="B66" s="213" t="s">
        <v>183</v>
      </c>
      <c r="C66" s="213"/>
      <c r="D66" s="213"/>
      <c r="E66" s="213"/>
      <c r="F66" s="213"/>
      <c r="G66" s="213"/>
      <c r="H66" s="30"/>
      <c r="I66" s="17"/>
      <c r="J66" s="19"/>
      <c r="K66" s="19"/>
    </row>
    <row r="67" spans="1:12" ht="17.100000000000001" customHeight="1" x14ac:dyDescent="0.2">
      <c r="B67" s="213" t="s">
        <v>184</v>
      </c>
      <c r="C67" s="213"/>
      <c r="D67" s="213"/>
      <c r="E67" s="213"/>
      <c r="F67" s="213"/>
      <c r="G67" s="213"/>
      <c r="H67" s="30"/>
      <c r="I67" s="17"/>
      <c r="J67" s="19"/>
      <c r="K67" s="19"/>
    </row>
    <row r="68" spans="1:12" ht="15.75" customHeight="1" x14ac:dyDescent="0.2">
      <c r="A68" s="21"/>
      <c r="B68" s="19"/>
      <c r="C68" s="19"/>
      <c r="D68" s="19"/>
      <c r="E68" s="19"/>
      <c r="F68" s="19"/>
      <c r="G68" s="19"/>
      <c r="H68" s="19"/>
      <c r="I68" s="19"/>
    </row>
    <row r="69" spans="1:12" x14ac:dyDescent="0.2">
      <c r="A69" s="21"/>
      <c r="B69" s="19"/>
      <c r="C69" s="172"/>
      <c r="D69" s="172"/>
      <c r="E69" s="172"/>
      <c r="F69" s="172"/>
      <c r="G69" s="172"/>
      <c r="H69" s="172"/>
      <c r="I69" s="172"/>
      <c r="J69" s="172"/>
      <c r="K69" s="172"/>
    </row>
    <row r="70" spans="1:12" x14ac:dyDescent="0.2">
      <c r="C70" s="172"/>
      <c r="D70" s="172"/>
      <c r="E70" s="172"/>
      <c r="F70" s="172"/>
      <c r="G70" s="172"/>
      <c r="H70" s="172"/>
      <c r="I70" s="172"/>
      <c r="J70" s="172"/>
      <c r="K70" s="172"/>
    </row>
    <row r="71" spans="1:12" x14ac:dyDescent="0.2">
      <c r="C71" s="172"/>
      <c r="D71" s="172"/>
      <c r="E71" s="172"/>
      <c r="F71" s="172"/>
      <c r="G71" s="172"/>
      <c r="H71" s="172"/>
      <c r="I71" s="172"/>
      <c r="J71" s="172"/>
      <c r="K71" s="172"/>
    </row>
    <row r="72" spans="1:12" x14ac:dyDescent="0.2">
      <c r="C72" s="172"/>
      <c r="D72" s="172"/>
      <c r="E72" s="172"/>
      <c r="F72" s="172"/>
      <c r="G72" s="172"/>
      <c r="H72" s="172"/>
      <c r="I72" s="172"/>
      <c r="J72" s="172"/>
      <c r="K72" s="172"/>
    </row>
    <row r="73" spans="1:12" x14ac:dyDescent="0.2">
      <c r="A73" s="172"/>
      <c r="B73" s="172"/>
      <c r="C73" s="172"/>
      <c r="D73" s="172"/>
      <c r="E73" s="172"/>
      <c r="F73" s="172"/>
      <c r="G73" s="172"/>
      <c r="H73" s="172"/>
      <c r="I73" s="172"/>
      <c r="J73" s="172"/>
      <c r="K73" s="172"/>
    </row>
    <row r="74" spans="1:12" x14ac:dyDescent="0.2">
      <c r="A74" s="172"/>
      <c r="B74" s="172"/>
      <c r="C74" s="154"/>
      <c r="D74" s="154"/>
      <c r="E74" s="154"/>
      <c r="F74" s="154"/>
      <c r="G74" s="154"/>
      <c r="H74" s="154"/>
      <c r="I74" s="154"/>
      <c r="J74" s="154"/>
      <c r="K74" s="154"/>
    </row>
    <row r="75" spans="1:12" x14ac:dyDescent="0.2">
      <c r="A75" s="172"/>
      <c r="B75" s="172"/>
      <c r="C75" s="154"/>
      <c r="D75" s="154"/>
      <c r="E75" s="154"/>
      <c r="F75" s="154"/>
      <c r="G75" s="154"/>
      <c r="H75" s="154"/>
      <c r="I75" s="154"/>
      <c r="J75" s="154"/>
      <c r="K75" s="154"/>
    </row>
    <row r="76" spans="1:12" x14ac:dyDescent="0.2">
      <c r="A76" s="172"/>
      <c r="B76" s="172"/>
      <c r="C76" s="174" t="s">
        <v>141</v>
      </c>
      <c r="D76" s="175"/>
      <c r="E76" s="175"/>
      <c r="F76" s="175"/>
      <c r="G76" s="174" t="s">
        <v>94</v>
      </c>
      <c r="H76" s="176"/>
      <c r="I76" s="176"/>
      <c r="J76" s="154"/>
      <c r="K76" s="154"/>
      <c r="L76" s="154"/>
    </row>
    <row r="77" spans="1:12" x14ac:dyDescent="0.2">
      <c r="A77" s="172"/>
      <c r="B77" s="172"/>
      <c r="C77" s="175"/>
      <c r="D77" s="192">
        <f>'Nachfrage &amp; Erzeugung'!$C$36</f>
        <v>2018</v>
      </c>
      <c r="E77" s="174">
        <f>'Basis-Annahmen'!E5</f>
        <v>2035</v>
      </c>
      <c r="F77" s="175"/>
      <c r="G77" s="176"/>
      <c r="H77" s="192">
        <f>'Nachfrage &amp; Erzeugung'!$C$36</f>
        <v>2018</v>
      </c>
      <c r="I77" s="174">
        <f>'Basis-Annahmen'!E5</f>
        <v>2035</v>
      </c>
      <c r="J77" s="154"/>
      <c r="K77" s="154"/>
      <c r="L77" s="154"/>
    </row>
    <row r="78" spans="1:12" x14ac:dyDescent="0.2">
      <c r="A78" s="172"/>
      <c r="B78" s="172"/>
      <c r="C78" s="176" t="str">
        <f>'Nachfrage &amp; Erzeugung'!B38</f>
        <v>Private Haushalte</v>
      </c>
      <c r="D78" s="190">
        <f>'Nachfrage &amp; Erzeugung'!C38</f>
        <v>30922.57</v>
      </c>
      <c r="E78" s="190">
        <f>LOOKUP('Basis-Annahmen'!E5,'Nachfrage &amp; Erzeugung'!D36:G36,'Nachfrage &amp; Erzeugung'!D38:G38)</f>
        <v>28624.930000000004</v>
      </c>
      <c r="F78" s="175"/>
      <c r="G78" s="175"/>
      <c r="H78" s="175"/>
      <c r="I78" s="175"/>
      <c r="J78" s="154"/>
      <c r="K78" s="154"/>
      <c r="L78" s="154"/>
    </row>
    <row r="79" spans="1:12" x14ac:dyDescent="0.2">
      <c r="A79" s="172"/>
      <c r="B79" s="172"/>
      <c r="C79" s="176" t="str">
        <f>'Nachfrage &amp; Erzeugung'!B39</f>
        <v>GHD / Industrie</v>
      </c>
      <c r="D79" s="190">
        <f>'Nachfrage &amp; Erzeugung'!C39</f>
        <v>42453.66</v>
      </c>
      <c r="E79" s="190">
        <f>LOOKUP('Basis-Annahmen'!E5,'Nachfrage &amp; Erzeugung'!D36:G36,'Nachfrage &amp; Erzeugung'!D39:G39)</f>
        <v>67463.43579977761</v>
      </c>
      <c r="F79" s="175"/>
      <c r="G79" s="176" t="s">
        <v>56</v>
      </c>
      <c r="H79" s="190">
        <f>'Nachfrage &amp; Erzeugung'!C46</f>
        <v>4116</v>
      </c>
      <c r="I79" s="190">
        <f>I40</f>
        <v>0</v>
      </c>
      <c r="J79" s="154"/>
      <c r="K79" s="154"/>
      <c r="L79" s="154"/>
    </row>
    <row r="80" spans="1:12" x14ac:dyDescent="0.2">
      <c r="A80" s="172"/>
      <c r="B80" s="172"/>
      <c r="C80" s="176" t="str">
        <f>'Nachfrage &amp; Erzeugung'!B40</f>
        <v>Kommunale Einrichtungen</v>
      </c>
      <c r="D80" s="190">
        <f>'Nachfrage &amp; Erzeugung'!C40</f>
        <v>1701.96</v>
      </c>
      <c r="E80" s="190">
        <f>LOOKUP('Basis-Annahmen'!E5,'Nachfrage &amp; Erzeugung'!D36:G36,'Nachfrage &amp; Erzeugung'!D40:G40)</f>
        <v>1823.4198955747556</v>
      </c>
      <c r="F80" s="175"/>
      <c r="G80" s="176" t="str">
        <f>'Nachfrage &amp; Erzeugung'!B47</f>
        <v>Nicht erneuerbare Wärmeerzeugung</v>
      </c>
      <c r="H80" s="190">
        <f>MAX(0,H82-H79)</f>
        <v>70962</v>
      </c>
      <c r="I80" s="190">
        <f>MAX(0,I82-I79)</f>
        <v>97911.785695352373</v>
      </c>
      <c r="J80" s="154"/>
      <c r="K80" s="154"/>
      <c r="L80" s="154"/>
    </row>
    <row r="81" spans="1:12" x14ac:dyDescent="0.2">
      <c r="A81" s="172"/>
      <c r="B81" s="172"/>
      <c r="C81" s="176"/>
      <c r="D81" s="175"/>
      <c r="E81" s="175"/>
      <c r="F81" s="175"/>
      <c r="G81" s="176"/>
      <c r="H81" s="190"/>
      <c r="I81" s="190"/>
      <c r="J81" s="154"/>
      <c r="K81" s="154"/>
      <c r="L81" s="154"/>
    </row>
    <row r="82" spans="1:12" x14ac:dyDescent="0.2">
      <c r="A82" s="172"/>
      <c r="B82" s="172"/>
      <c r="C82" s="176" t="s">
        <v>68</v>
      </c>
      <c r="D82" s="190">
        <f>'Nachfrage &amp; Erzeugung'!C37</f>
        <v>75078</v>
      </c>
      <c r="E82" s="190">
        <f>LOOKUP('Basis-Annahmen'!E5,'Nachfrage &amp; Erzeugung'!D36:G36,'Nachfrage &amp; Erzeugung'!D37:G37)</f>
        <v>97911.785695352373</v>
      </c>
      <c r="F82" s="175"/>
      <c r="G82" s="176" t="s">
        <v>83</v>
      </c>
      <c r="H82" s="190">
        <f>'Nachfrage &amp; Erzeugung'!C37</f>
        <v>75078</v>
      </c>
      <c r="I82" s="190">
        <f>LOOKUP('Basis-Annahmen'!E5,'Nachfrage &amp; Erzeugung'!D36:G36,'Nachfrage &amp; Erzeugung'!D37:G37)</f>
        <v>97911.785695352373</v>
      </c>
      <c r="J82" s="154"/>
      <c r="K82" s="154"/>
      <c r="L82" s="154"/>
    </row>
    <row r="83" spans="1:12" x14ac:dyDescent="0.2">
      <c r="A83" s="172"/>
      <c r="B83" s="172"/>
      <c r="C83" s="175"/>
      <c r="D83" s="175"/>
      <c r="E83" s="175"/>
      <c r="F83" s="175"/>
      <c r="G83" s="176"/>
      <c r="H83" s="190"/>
      <c r="I83" s="190"/>
      <c r="J83" s="154"/>
      <c r="K83" s="154"/>
      <c r="L83" s="154"/>
    </row>
    <row r="84" spans="1:12" x14ac:dyDescent="0.2">
      <c r="A84" s="172"/>
      <c r="B84" s="172"/>
      <c r="C84" s="176" t="s">
        <v>106</v>
      </c>
      <c r="D84" s="175"/>
      <c r="E84" s="191">
        <f>(E82-D82)/D82</f>
        <v>0.30413417639458129</v>
      </c>
      <c r="F84" s="175"/>
      <c r="G84" s="175"/>
      <c r="H84" s="175">
        <v>2018.5</v>
      </c>
      <c r="I84" s="175">
        <v>2035.5</v>
      </c>
      <c r="J84" s="154"/>
      <c r="K84" s="154"/>
      <c r="L84" s="154"/>
    </row>
    <row r="85" spans="1:12" x14ac:dyDescent="0.2">
      <c r="A85" s="172"/>
      <c r="B85" s="172"/>
      <c r="C85" s="175"/>
      <c r="D85" s="175"/>
      <c r="E85" s="175"/>
      <c r="F85" s="175"/>
      <c r="G85" s="175"/>
      <c r="H85" s="175"/>
      <c r="I85" s="175"/>
      <c r="J85" s="154"/>
      <c r="K85" s="154"/>
      <c r="L85" s="154"/>
    </row>
    <row r="86" spans="1:12" x14ac:dyDescent="0.2">
      <c r="A86" s="172"/>
      <c r="B86" s="172"/>
      <c r="C86" s="154"/>
      <c r="D86" s="154"/>
      <c r="E86" s="154"/>
      <c r="F86" s="154"/>
      <c r="G86" s="154"/>
      <c r="H86" s="154"/>
      <c r="I86" s="154"/>
      <c r="J86" s="154"/>
      <c r="K86" s="154"/>
      <c r="L86" s="154"/>
    </row>
    <row r="87" spans="1:12" x14ac:dyDescent="0.2">
      <c r="A87" s="172"/>
      <c r="B87" s="172"/>
      <c r="C87" s="154"/>
      <c r="D87" s="154"/>
      <c r="E87" s="154"/>
      <c r="F87" s="154"/>
      <c r="G87" s="154"/>
      <c r="H87" s="154"/>
      <c r="I87" s="154"/>
      <c r="J87" s="154"/>
      <c r="K87" s="154"/>
      <c r="L87" s="154"/>
    </row>
    <row r="88" spans="1:12" x14ac:dyDescent="0.2">
      <c r="A88" s="172"/>
      <c r="B88" s="172"/>
      <c r="C88" s="154"/>
      <c r="D88" s="154"/>
      <c r="E88" s="154"/>
      <c r="F88" s="154"/>
      <c r="G88" s="154"/>
      <c r="H88" s="154"/>
      <c r="I88" s="154"/>
      <c r="J88" s="154"/>
      <c r="K88" s="154"/>
    </row>
    <row r="89" spans="1:12" x14ac:dyDescent="0.2">
      <c r="A89" s="172"/>
      <c r="B89" s="172"/>
      <c r="C89" s="154"/>
      <c r="D89" s="154"/>
      <c r="E89" s="154"/>
      <c r="F89" s="154"/>
      <c r="G89" s="154"/>
      <c r="H89" s="154"/>
      <c r="I89" s="154"/>
      <c r="J89" s="154"/>
      <c r="K89" s="154"/>
    </row>
    <row r="90" spans="1:12" x14ac:dyDescent="0.2">
      <c r="A90" s="172"/>
      <c r="B90" s="172"/>
      <c r="C90" s="154"/>
      <c r="D90" s="154"/>
      <c r="E90" s="154"/>
      <c r="F90" s="154"/>
      <c r="G90" s="154"/>
      <c r="H90" s="154"/>
      <c r="I90" s="154"/>
      <c r="J90" s="154"/>
      <c r="K90" s="154"/>
    </row>
    <row r="91" spans="1:12" x14ac:dyDescent="0.2">
      <c r="A91" s="172"/>
      <c r="B91" s="172"/>
      <c r="C91" s="154"/>
      <c r="D91" s="154"/>
      <c r="E91" s="154"/>
      <c r="F91" s="154"/>
      <c r="G91" s="154"/>
      <c r="H91" s="154"/>
      <c r="I91" s="154"/>
      <c r="J91" s="154"/>
      <c r="K91" s="154"/>
    </row>
    <row r="92" spans="1:12" x14ac:dyDescent="0.2">
      <c r="A92" s="172"/>
      <c r="B92" s="172"/>
      <c r="C92" s="172"/>
      <c r="D92" s="172"/>
      <c r="E92" s="172"/>
      <c r="F92" s="172"/>
      <c r="G92" s="172"/>
      <c r="H92" s="172"/>
      <c r="I92" s="172"/>
      <c r="J92" s="172"/>
      <c r="K92" s="172"/>
    </row>
    <row r="93" spans="1:12" x14ac:dyDescent="0.2">
      <c r="A93" s="172"/>
      <c r="B93" s="172"/>
      <c r="C93" s="172"/>
      <c r="D93" s="172"/>
      <c r="E93" s="172"/>
      <c r="F93" s="172"/>
      <c r="G93" s="172"/>
      <c r="H93" s="172"/>
      <c r="I93" s="172"/>
      <c r="J93" s="172"/>
      <c r="K93" s="172"/>
    </row>
  </sheetData>
  <mergeCells count="82">
    <mergeCell ref="B34:G34"/>
    <mergeCell ref="B35:G35"/>
    <mergeCell ref="B36:G36"/>
    <mergeCell ref="B57:K57"/>
    <mergeCell ref="B60:G60"/>
    <mergeCell ref="J34:K34"/>
    <mergeCell ref="H34:I34"/>
    <mergeCell ref="G39:H39"/>
    <mergeCell ref="B52:K52"/>
    <mergeCell ref="B39:F39"/>
    <mergeCell ref="I39:K39"/>
    <mergeCell ref="B37:G37"/>
    <mergeCell ref="H37:I37"/>
    <mergeCell ref="J37:K37"/>
    <mergeCell ref="B61:G61"/>
    <mergeCell ref="B62:G62"/>
    <mergeCell ref="J35:K35"/>
    <mergeCell ref="G40:H40"/>
    <mergeCell ref="B53:K53"/>
    <mergeCell ref="A54:K54"/>
    <mergeCell ref="A56:K56"/>
    <mergeCell ref="H36:I36"/>
    <mergeCell ref="J36:K36"/>
    <mergeCell ref="B40:F40"/>
    <mergeCell ref="B41:F41"/>
    <mergeCell ref="G41:H41"/>
    <mergeCell ref="I40:K40"/>
    <mergeCell ref="I41:K41"/>
    <mergeCell ref="H35:I35"/>
    <mergeCell ref="B38:K38"/>
    <mergeCell ref="B63:G63"/>
    <mergeCell ref="B64:G64"/>
    <mergeCell ref="B67:G67"/>
    <mergeCell ref="B65:G65"/>
    <mergeCell ref="B66:G66"/>
    <mergeCell ref="B20:K20"/>
    <mergeCell ref="B19:K19"/>
    <mergeCell ref="B7:K7"/>
    <mergeCell ref="F5:H5"/>
    <mergeCell ref="A1:L1"/>
    <mergeCell ref="A2:L2"/>
    <mergeCell ref="A4:L4"/>
    <mergeCell ref="B18:K18"/>
    <mergeCell ref="A8:K8"/>
    <mergeCell ref="D13:H13"/>
    <mergeCell ref="I13:K13"/>
    <mergeCell ref="D14:H14"/>
    <mergeCell ref="I14:K14"/>
    <mergeCell ref="D15:H15"/>
    <mergeCell ref="I15:K15"/>
    <mergeCell ref="A17:K17"/>
    <mergeCell ref="B6:K6"/>
    <mergeCell ref="A3:L3"/>
    <mergeCell ref="B12:K12"/>
    <mergeCell ref="B16:K16"/>
    <mergeCell ref="B31:G31"/>
    <mergeCell ref="B21:E21"/>
    <mergeCell ref="B27:K27"/>
    <mergeCell ref="B28:K28"/>
    <mergeCell ref="F29:G29"/>
    <mergeCell ref="J29:K29"/>
    <mergeCell ref="A24:K24"/>
    <mergeCell ref="B25:K25"/>
    <mergeCell ref="B26:K26"/>
    <mergeCell ref="B22:E22"/>
    <mergeCell ref="I21:J21"/>
    <mergeCell ref="I22:J22"/>
    <mergeCell ref="H29:I29"/>
    <mergeCell ref="B29:E29"/>
    <mergeCell ref="B33:G33"/>
    <mergeCell ref="F30:G30"/>
    <mergeCell ref="J30:K30"/>
    <mergeCell ref="H30:I30"/>
    <mergeCell ref="H31:I31"/>
    <mergeCell ref="B30:E30"/>
    <mergeCell ref="B32:E32"/>
    <mergeCell ref="J33:K33"/>
    <mergeCell ref="H33:I33"/>
    <mergeCell ref="J31:K31"/>
    <mergeCell ref="F32:G32"/>
    <mergeCell ref="J32:K32"/>
    <mergeCell ref="H32:I32"/>
  </mergeCells>
  <hyperlinks>
    <hyperlink ref="H30:I30" location="'Nachfrage &amp; Erzeugung'!C52:C62" display="Berechnungshilfe"/>
    <hyperlink ref="B66" r:id="rId1" display="http://www.landkreis-muenchen.de/"/>
  </hyperlinks>
  <pageMargins left="0.23622047244094491" right="0.23622047244094491" top="0.74803149606299213" bottom="0.74803149606299213" header="0.31496062992125984" footer="0.31496062992125984"/>
  <pageSetup paperSize="9" fitToHeight="3" orientation="portrait" r:id="rId2"/>
  <headerFooter>
    <oddHeader>&amp;L&amp;G&amp;R&amp;G</oddHeader>
    <oddFooter>&amp;C&amp;"Trebuchet MS,Standard"&amp;12&amp;P</oddFooter>
  </headerFooter>
  <rowBreaks count="2" manualBreakCount="2">
    <brk id="23" max="11" man="1"/>
    <brk id="53" max="11" man="1"/>
  </rowBreaks>
  <drawing r:id="rId3"/>
  <legacy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81"/>
  <sheetViews>
    <sheetView view="pageLayout" zoomScale="99" zoomScaleNormal="85" zoomScalePageLayoutView="99" workbookViewId="0">
      <selection activeCell="B42" sqref="B42:K42"/>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8.7109375" style="1" customWidth="1"/>
    <col min="6" max="6" width="7.5703125" style="1" customWidth="1"/>
    <col min="7" max="7" width="12.85546875" style="1" customWidth="1"/>
    <col min="8" max="8" width="13.7109375" style="1" customWidth="1"/>
    <col min="9" max="9" width="8.85546875" style="1" customWidth="1"/>
    <col min="10" max="10" width="4.85546875" style="1" customWidth="1"/>
    <col min="11" max="11" width="13.140625" style="6" customWidth="1"/>
    <col min="12" max="12" width="3.140625" style="1" customWidth="1"/>
    <col min="13" max="13" width="11.42578125" style="1"/>
    <col min="14" max="14" width="27.7109375" style="1" customWidth="1"/>
    <col min="15" max="15" width="18.85546875" style="1" customWidth="1"/>
    <col min="16" max="18" width="11.42578125" style="1"/>
    <col min="19" max="19" width="36.140625" style="1" bestFit="1" customWidth="1"/>
    <col min="20" max="16384" width="11.42578125" style="1"/>
  </cols>
  <sheetData>
    <row r="1" spans="1:14" ht="18" x14ac:dyDescent="0.25">
      <c r="A1" s="195" t="s">
        <v>191</v>
      </c>
      <c r="B1" s="195"/>
      <c r="C1" s="195"/>
      <c r="D1" s="195"/>
      <c r="E1" s="195"/>
      <c r="F1" s="195"/>
      <c r="G1" s="195"/>
      <c r="H1" s="195"/>
      <c r="I1" s="195"/>
      <c r="J1" s="195"/>
      <c r="K1" s="195"/>
      <c r="L1" s="195"/>
    </row>
    <row r="2" spans="1:14" ht="16.5" customHeight="1" x14ac:dyDescent="0.2">
      <c r="A2" s="197" t="s">
        <v>192</v>
      </c>
      <c r="B2" s="197"/>
      <c r="C2" s="197"/>
      <c r="D2" s="197"/>
      <c r="E2" s="197"/>
      <c r="F2" s="197"/>
      <c r="G2" s="197"/>
      <c r="H2" s="197"/>
      <c r="I2" s="197"/>
      <c r="J2" s="197"/>
      <c r="K2" s="197"/>
      <c r="L2" s="197"/>
      <c r="M2" s="6"/>
    </row>
    <row r="3" spans="1:14" ht="8.25" customHeight="1" x14ac:dyDescent="0.2">
      <c r="A3" s="214"/>
      <c r="B3" s="214"/>
      <c r="C3" s="214"/>
      <c r="D3" s="214"/>
      <c r="E3" s="214"/>
      <c r="F3" s="214"/>
      <c r="G3" s="214"/>
      <c r="H3" s="214"/>
      <c r="I3" s="214"/>
      <c r="J3" s="214"/>
      <c r="K3" s="214"/>
      <c r="L3" s="214"/>
      <c r="M3" s="6"/>
    </row>
    <row r="4" spans="1:14" ht="24" customHeight="1" x14ac:dyDescent="0.2">
      <c r="A4" s="196" t="s">
        <v>159</v>
      </c>
      <c r="B4" s="196"/>
      <c r="C4" s="196"/>
      <c r="D4" s="196"/>
      <c r="E4" s="196"/>
      <c r="F4" s="196"/>
      <c r="G4" s="196"/>
      <c r="H4" s="196"/>
      <c r="I4" s="196"/>
      <c r="J4" s="196"/>
      <c r="K4" s="196"/>
      <c r="L4" s="196"/>
      <c r="M4" s="6"/>
      <c r="N4" s="6"/>
    </row>
    <row r="5" spans="1:14" ht="21.6" customHeight="1" x14ac:dyDescent="0.25">
      <c r="A5" s="14"/>
      <c r="B5" s="187"/>
      <c r="C5" s="260" t="str">
        <f>"Prognostizierte Einwohnerzahl im Jahr "&amp;'Basis-Annahmen'!E5</f>
        <v>Prognostizierte Einwohnerzahl im Jahr 2035</v>
      </c>
      <c r="D5" s="260"/>
      <c r="E5" s="260"/>
      <c r="F5" s="260"/>
      <c r="G5" s="260"/>
      <c r="H5" s="261">
        <f>LOOKUP('Basis-Annahmen'!E5,'Basis-Annahmen'!E33:I33,'Basis-Annahmen'!E34:I34)</f>
        <v>7100</v>
      </c>
      <c r="I5" s="261"/>
      <c r="J5" s="261"/>
      <c r="K5" s="187"/>
    </row>
    <row r="6" spans="1:14" ht="10.5" customHeight="1" x14ac:dyDescent="0.2">
      <c r="A6" s="14"/>
      <c r="B6" s="177"/>
      <c r="C6" s="177"/>
      <c r="D6" s="177"/>
      <c r="E6" s="177"/>
      <c r="F6" s="177"/>
      <c r="G6" s="177"/>
      <c r="H6" s="177"/>
      <c r="I6" s="177"/>
      <c r="J6" s="177"/>
      <c r="K6" s="177"/>
    </row>
    <row r="7" spans="1:14" ht="31.5" customHeight="1" x14ac:dyDescent="0.2">
      <c r="A7" s="14"/>
      <c r="B7" s="217" t="str">
        <f>"Treibhausgasemissionen durch Strombezug im Jahr "&amp;'Basis-Annahmen'!E5</f>
        <v>Treibhausgasemissionen durch Strombezug im Jahr 2035</v>
      </c>
      <c r="C7" s="217"/>
      <c r="D7" s="217"/>
      <c r="E7" s="217"/>
      <c r="F7" s="217"/>
      <c r="G7" s="217"/>
      <c r="H7" s="217"/>
      <c r="I7" s="217"/>
      <c r="J7" s="217"/>
      <c r="K7" s="217"/>
    </row>
    <row r="8" spans="1:14" ht="21.6" customHeight="1" x14ac:dyDescent="0.2">
      <c r="A8" s="14"/>
      <c r="B8" s="177"/>
      <c r="C8" s="200" t="s">
        <v>162</v>
      </c>
      <c r="D8" s="200"/>
      <c r="E8" s="200"/>
      <c r="F8" s="200"/>
      <c r="G8" s="200"/>
      <c r="H8" s="263">
        <f>Ausbauziel_Strom!I78</f>
        <v>47497.201542080787</v>
      </c>
      <c r="I8" s="263"/>
      <c r="J8" s="263"/>
    </row>
    <row r="9" spans="1:14" ht="10.5" customHeight="1" x14ac:dyDescent="0.2">
      <c r="A9" s="14"/>
      <c r="B9" s="177"/>
      <c r="C9" s="177"/>
      <c r="D9" s="177"/>
      <c r="E9" s="177"/>
      <c r="F9" s="177"/>
      <c r="G9" s="177"/>
      <c r="H9" s="177"/>
      <c r="I9" s="177"/>
      <c r="J9" s="177"/>
      <c r="K9" s="177"/>
    </row>
    <row r="10" spans="1:14" ht="31.5" customHeight="1" x14ac:dyDescent="0.2">
      <c r="A10" s="14"/>
      <c r="B10" s="177"/>
      <c r="C10" s="262" t="s">
        <v>163</v>
      </c>
      <c r="D10" s="262"/>
      <c r="E10" s="262"/>
      <c r="F10" s="262"/>
      <c r="G10" s="262"/>
      <c r="H10" s="264">
        <v>200</v>
      </c>
      <c r="I10" s="264"/>
      <c r="J10" s="264"/>
      <c r="K10" s="177"/>
    </row>
    <row r="11" spans="1:14" ht="10.5" customHeight="1" x14ac:dyDescent="0.2">
      <c r="A11" s="14"/>
      <c r="B11" s="177"/>
      <c r="C11" s="106"/>
      <c r="D11" s="106"/>
      <c r="E11" s="106"/>
      <c r="F11" s="106"/>
      <c r="G11" s="106"/>
      <c r="H11" s="178"/>
      <c r="I11" s="180"/>
      <c r="J11" s="177"/>
      <c r="K11" s="177"/>
    </row>
    <row r="12" spans="1:14" ht="24.6" customHeight="1" x14ac:dyDescent="0.2">
      <c r="A12" s="14"/>
      <c r="B12" s="177"/>
      <c r="C12" s="259" t="s">
        <v>165</v>
      </c>
      <c r="D12" s="259"/>
      <c r="E12" s="259"/>
      <c r="F12" s="259"/>
      <c r="G12" s="259"/>
      <c r="H12" s="265">
        <f>H10*H8/1000</f>
        <v>9499.4403084161586</v>
      </c>
      <c r="I12" s="265"/>
      <c r="J12" s="265"/>
      <c r="K12" s="177"/>
    </row>
    <row r="13" spans="1:14" ht="24.6" customHeight="1" x14ac:dyDescent="0.2">
      <c r="A13" s="14"/>
      <c r="B13" s="177"/>
      <c r="C13" s="259" t="s">
        <v>164</v>
      </c>
      <c r="D13" s="259"/>
      <c r="E13" s="259"/>
      <c r="F13" s="259"/>
      <c r="G13" s="259"/>
      <c r="H13" s="266">
        <f>H12/H5</f>
        <v>1.3379493392135435</v>
      </c>
      <c r="I13" s="266"/>
      <c r="J13" s="266"/>
      <c r="K13" s="177"/>
    </row>
    <row r="14" spans="1:14" ht="10.5" customHeight="1" x14ac:dyDescent="0.2">
      <c r="A14" s="14"/>
      <c r="B14" s="177"/>
      <c r="C14" s="177"/>
      <c r="D14" s="177"/>
      <c r="E14" s="177"/>
      <c r="F14" s="177"/>
      <c r="G14" s="177"/>
      <c r="H14" s="177"/>
      <c r="I14" s="177"/>
      <c r="J14" s="177"/>
      <c r="K14" s="177"/>
    </row>
    <row r="15" spans="1:14" ht="31.5" customHeight="1" x14ac:dyDescent="0.2">
      <c r="A15" s="14"/>
      <c r="B15" s="217" t="str">
        <f>"Treibhausgasemissionen durch nicht-erneuerbare Wärmeerzeugung im Jahr "&amp;'Basis-Annahmen'!E5</f>
        <v>Treibhausgasemissionen durch nicht-erneuerbare Wärmeerzeugung im Jahr 2035</v>
      </c>
      <c r="C15" s="217"/>
      <c r="D15" s="217"/>
      <c r="E15" s="217"/>
      <c r="F15" s="217"/>
      <c r="G15" s="217"/>
      <c r="H15" s="217"/>
      <c r="I15" s="217"/>
      <c r="J15" s="217"/>
      <c r="K15" s="217"/>
    </row>
    <row r="16" spans="1:14" ht="21.6" customHeight="1" x14ac:dyDescent="0.2">
      <c r="A16" s="14"/>
      <c r="B16" s="177"/>
      <c r="C16" s="200" t="s">
        <v>160</v>
      </c>
      <c r="D16" s="200"/>
      <c r="E16" s="200"/>
      <c r="F16" s="200"/>
      <c r="G16" s="200"/>
      <c r="H16" s="263">
        <f>Ausbauziel_Wärme!I41</f>
        <v>97911.785695352373</v>
      </c>
      <c r="I16" s="263"/>
      <c r="J16" s="263"/>
    </row>
    <row r="17" spans="1:11" ht="10.5" customHeight="1" x14ac:dyDescent="0.2">
      <c r="A17" s="14"/>
      <c r="B17" s="177"/>
      <c r="C17" s="177"/>
      <c r="D17" s="177"/>
      <c r="E17" s="177"/>
      <c r="F17" s="177"/>
      <c r="G17" s="177"/>
      <c r="H17" s="177"/>
      <c r="I17" s="177"/>
      <c r="J17" s="177"/>
      <c r="K17" s="177"/>
    </row>
    <row r="18" spans="1:11" ht="31.5" customHeight="1" x14ac:dyDescent="0.2">
      <c r="A18" s="14"/>
      <c r="B18" s="177"/>
      <c r="C18" s="262" t="s">
        <v>161</v>
      </c>
      <c r="D18" s="262"/>
      <c r="E18" s="262"/>
      <c r="F18" s="262"/>
      <c r="G18" s="262"/>
      <c r="H18" s="264">
        <v>240</v>
      </c>
      <c r="I18" s="264"/>
      <c r="J18" s="264"/>
      <c r="K18" s="177"/>
    </row>
    <row r="19" spans="1:11" ht="10.5" customHeight="1" x14ac:dyDescent="0.2">
      <c r="A19" s="14"/>
      <c r="B19" s="177"/>
      <c r="C19" s="106"/>
      <c r="D19" s="106"/>
      <c r="E19" s="106"/>
      <c r="F19" s="106"/>
      <c r="G19" s="106"/>
      <c r="H19" s="178"/>
      <c r="I19" s="180"/>
      <c r="J19" s="178"/>
      <c r="K19" s="177"/>
    </row>
    <row r="20" spans="1:11" ht="24.6" customHeight="1" x14ac:dyDescent="0.2">
      <c r="A20" s="14"/>
      <c r="B20" s="177"/>
      <c r="C20" s="259" t="s">
        <v>165</v>
      </c>
      <c r="D20" s="259"/>
      <c r="E20" s="259"/>
      <c r="F20" s="259"/>
      <c r="G20" s="259"/>
      <c r="H20" s="265">
        <f>H18*H16/1000</f>
        <v>23498.828566884571</v>
      </c>
      <c r="I20" s="265"/>
      <c r="J20" s="265"/>
      <c r="K20" s="177"/>
    </row>
    <row r="21" spans="1:11" ht="24.6" customHeight="1" x14ac:dyDescent="0.2">
      <c r="A21" s="14"/>
      <c r="B21" s="177"/>
      <c r="C21" s="259" t="s">
        <v>164</v>
      </c>
      <c r="D21" s="259"/>
      <c r="E21" s="259"/>
      <c r="F21" s="259"/>
      <c r="G21" s="259"/>
      <c r="H21" s="266">
        <f>H20/H5</f>
        <v>3.3096941643499398</v>
      </c>
      <c r="I21" s="266"/>
      <c r="J21" s="266"/>
      <c r="K21" s="177"/>
    </row>
    <row r="22" spans="1:11" ht="10.5" customHeight="1" x14ac:dyDescent="0.2">
      <c r="A22" s="14"/>
      <c r="B22" s="177"/>
      <c r="C22" s="177"/>
      <c r="D22" s="177"/>
      <c r="E22" s="177"/>
      <c r="F22" s="177"/>
      <c r="G22" s="177"/>
      <c r="H22" s="177"/>
      <c r="I22" s="177"/>
      <c r="J22" s="177"/>
      <c r="K22" s="177"/>
    </row>
    <row r="23" spans="1:11" ht="31.5" customHeight="1" x14ac:dyDescent="0.2">
      <c r="A23" s="14"/>
      <c r="B23" s="217" t="str">
        <f>"Treibhausgasemissionen durch Treibstoffe im Individualverkehr im Jahr "&amp;'Basis-Annahmen'!E5</f>
        <v>Treibhausgasemissionen durch Treibstoffe im Individualverkehr im Jahr 2035</v>
      </c>
      <c r="C23" s="217"/>
      <c r="D23" s="217"/>
      <c r="E23" s="217"/>
      <c r="F23" s="217"/>
      <c r="G23" s="217"/>
      <c r="H23" s="217"/>
      <c r="I23" s="217"/>
      <c r="J23" s="217"/>
      <c r="K23" s="217"/>
    </row>
    <row r="24" spans="1:11" ht="31.5" customHeight="1" x14ac:dyDescent="0.2">
      <c r="A24" s="14"/>
      <c r="B24" s="177"/>
      <c r="C24" s="267" t="s">
        <v>173</v>
      </c>
      <c r="D24" s="262"/>
      <c r="E24" s="262"/>
      <c r="F24" s="262"/>
      <c r="G24" s="262"/>
      <c r="H24" s="268">
        <v>1.4</v>
      </c>
      <c r="I24" s="268"/>
      <c r="J24" s="268"/>
      <c r="K24" s="177"/>
    </row>
    <row r="25" spans="1:11" ht="10.5" customHeight="1" x14ac:dyDescent="0.2">
      <c r="A25" s="14"/>
      <c r="B25" s="177"/>
      <c r="C25" s="106"/>
      <c r="D25" s="106"/>
      <c r="E25" s="106"/>
      <c r="F25" s="106"/>
      <c r="G25" s="106"/>
      <c r="H25" s="178"/>
      <c r="I25" s="180"/>
      <c r="J25" s="178"/>
      <c r="K25" s="177"/>
    </row>
    <row r="26" spans="1:11" ht="24.6" customHeight="1" x14ac:dyDescent="0.2">
      <c r="A26" s="14"/>
      <c r="B26" s="177"/>
      <c r="C26" s="259" t="s">
        <v>165</v>
      </c>
      <c r="D26" s="259"/>
      <c r="E26" s="259"/>
      <c r="F26" s="259"/>
      <c r="G26" s="259"/>
      <c r="H26" s="265">
        <f>H27*H5</f>
        <v>4277.2121212121219</v>
      </c>
      <c r="I26" s="265"/>
      <c r="J26" s="265"/>
      <c r="K26" s="177"/>
    </row>
    <row r="27" spans="1:11" ht="24.6" customHeight="1" x14ac:dyDescent="0.2">
      <c r="A27" s="14"/>
      <c r="B27" s="177"/>
      <c r="C27" s="259" t="s">
        <v>164</v>
      </c>
      <c r="D27" s="259"/>
      <c r="E27" s="259"/>
      <c r="F27" s="259"/>
      <c r="G27" s="259"/>
      <c r="H27" s="266">
        <f>H24*IF('Basis-Annahmen'!E5=2030,(100%-'Basis-Annahmen'!G14)*('Basis-Annahmen'!G45/'Basis-Annahmen'!E45),IF('Basis-Annahmen'!E5=2035,(100%-'Basis-Annahmen'!H14)*('Basis-Annahmen'!H45/'Basis-Annahmen'!E45),IF('Basis-Annahmen'!E5=2040,(100%-'Basis-Annahmen'!I14)*('Basis-Annahmen'!I45/'Basis-Annahmen'!E45),1000000)))</f>
        <v>0.60242424242424253</v>
      </c>
      <c r="I27" s="266"/>
      <c r="J27" s="266"/>
      <c r="K27" s="177"/>
    </row>
    <row r="28" spans="1:11" ht="10.5" customHeight="1" x14ac:dyDescent="0.2">
      <c r="A28" s="14"/>
      <c r="B28" s="177"/>
      <c r="C28" s="177"/>
      <c r="D28" s="177"/>
      <c r="E28" s="177"/>
      <c r="F28" s="177"/>
      <c r="G28" s="177"/>
      <c r="H28" s="177"/>
      <c r="I28" s="177"/>
      <c r="J28" s="177"/>
      <c r="K28" s="177"/>
    </row>
    <row r="29" spans="1:11" ht="24.6" customHeight="1" x14ac:dyDescent="0.2">
      <c r="A29" s="14"/>
      <c r="B29" s="217" t="str">
        <f>"Treibhausgasemissionen der Sektoren Strom, Wärme und Verkehr im Jahr "&amp;'Basis-Annahmen'!E5</f>
        <v>Treibhausgasemissionen der Sektoren Strom, Wärme und Verkehr im Jahr 2035</v>
      </c>
      <c r="C29" s="217"/>
      <c r="D29" s="217"/>
      <c r="E29" s="217"/>
      <c r="F29" s="217"/>
      <c r="G29" s="217"/>
      <c r="H29" s="217"/>
      <c r="I29" s="217"/>
      <c r="J29" s="217"/>
      <c r="K29" s="217"/>
    </row>
    <row r="30" spans="1:11" ht="10.5" customHeight="1" x14ac:dyDescent="0.2">
      <c r="A30" s="14"/>
      <c r="B30" s="177"/>
      <c r="C30" s="181"/>
      <c r="D30" s="181"/>
      <c r="E30" s="181"/>
      <c r="F30" s="181"/>
      <c r="G30" s="181"/>
      <c r="H30" s="182"/>
      <c r="I30" s="182"/>
      <c r="J30" s="182"/>
      <c r="K30" s="177"/>
    </row>
    <row r="31" spans="1:11" ht="24.6" customHeight="1" x14ac:dyDescent="0.2">
      <c r="A31" s="14"/>
      <c r="B31" s="177"/>
      <c r="C31" s="259" t="s">
        <v>165</v>
      </c>
      <c r="D31" s="259"/>
      <c r="E31" s="259"/>
      <c r="F31" s="259"/>
      <c r="G31" s="259"/>
      <c r="H31" s="265">
        <f>H26+H20+H12</f>
        <v>37275.480996512852</v>
      </c>
      <c r="I31" s="265"/>
      <c r="J31" s="265"/>
      <c r="K31" s="177"/>
    </row>
    <row r="32" spans="1:11" ht="24.6" customHeight="1" x14ac:dyDescent="0.2">
      <c r="A32" s="14"/>
      <c r="B32" s="177"/>
      <c r="C32" s="259" t="s">
        <v>164</v>
      </c>
      <c r="D32" s="259"/>
      <c r="E32" s="259"/>
      <c r="F32" s="259"/>
      <c r="G32" s="259"/>
      <c r="H32" s="266">
        <f>H27+H21+H13</f>
        <v>5.2500677459877263</v>
      </c>
      <c r="I32" s="266"/>
      <c r="J32" s="266"/>
      <c r="K32" s="177"/>
    </row>
    <row r="33" spans="1:13" ht="18.600000000000001" customHeight="1" x14ac:dyDescent="0.2">
      <c r="A33" s="14"/>
      <c r="B33" s="177"/>
      <c r="C33" s="106"/>
      <c r="D33" s="106"/>
      <c r="E33" s="106"/>
      <c r="F33" s="106"/>
      <c r="G33" s="106"/>
      <c r="H33" s="178"/>
      <c r="I33" s="180"/>
      <c r="J33" s="178"/>
      <c r="K33" s="177"/>
    </row>
    <row r="34" spans="1:13" ht="18.600000000000001" customHeight="1" x14ac:dyDescent="0.2">
      <c r="A34" s="14"/>
      <c r="B34" s="177"/>
      <c r="C34" s="106"/>
      <c r="D34" s="106"/>
      <c r="E34" s="106"/>
      <c r="F34" s="106"/>
      <c r="G34" s="106"/>
      <c r="H34" s="178"/>
      <c r="I34" s="180"/>
      <c r="J34" s="178"/>
      <c r="K34" s="177"/>
    </row>
    <row r="35" spans="1:13" ht="18.600000000000001" customHeight="1" x14ac:dyDescent="0.2">
      <c r="A35" s="14"/>
      <c r="B35" s="177"/>
      <c r="C35" s="106"/>
      <c r="D35" s="106"/>
      <c r="E35" s="106"/>
      <c r="F35" s="106"/>
      <c r="G35" s="106"/>
      <c r="H35" s="178"/>
      <c r="I35" s="180"/>
      <c r="J35" s="178"/>
      <c r="K35" s="177"/>
    </row>
    <row r="36" spans="1:13" ht="18.600000000000001" customHeight="1" x14ac:dyDescent="0.2">
      <c r="A36" s="14"/>
      <c r="B36" s="177"/>
      <c r="C36" s="106"/>
      <c r="D36" s="106"/>
      <c r="E36" s="106"/>
      <c r="F36" s="106"/>
      <c r="G36" s="106"/>
      <c r="H36" s="178"/>
      <c r="I36" s="180"/>
      <c r="J36" s="178"/>
      <c r="K36" s="177"/>
    </row>
    <row r="37" spans="1:13" ht="18.600000000000001" customHeight="1" x14ac:dyDescent="0.2">
      <c r="A37" s="14"/>
      <c r="B37" s="177"/>
      <c r="C37" s="106"/>
      <c r="D37" s="106"/>
      <c r="E37" s="106"/>
      <c r="F37" s="106"/>
      <c r="G37" s="106"/>
      <c r="H37" s="178"/>
      <c r="I37" s="180"/>
      <c r="J37" s="178"/>
      <c r="K37" s="177"/>
    </row>
    <row r="38" spans="1:13" ht="31.5" customHeight="1" x14ac:dyDescent="0.2">
      <c r="A38" s="14"/>
      <c r="B38" s="177"/>
      <c r="C38" s="106"/>
      <c r="D38" s="106"/>
      <c r="E38" s="106"/>
      <c r="F38" s="106"/>
      <c r="G38" s="106"/>
      <c r="H38" s="178"/>
      <c r="I38" s="180"/>
      <c r="J38" s="178"/>
      <c r="K38" s="177"/>
    </row>
    <row r="39" spans="1:13" ht="18" x14ac:dyDescent="0.2">
      <c r="A39" s="223" t="s">
        <v>39</v>
      </c>
      <c r="B39" s="223"/>
      <c r="C39" s="223"/>
      <c r="D39" s="223"/>
      <c r="E39" s="223"/>
      <c r="F39" s="223"/>
      <c r="G39" s="223"/>
      <c r="H39" s="223"/>
      <c r="I39" s="223"/>
      <c r="J39" s="223"/>
      <c r="K39" s="223"/>
    </row>
    <row r="40" spans="1:13" ht="27.75" customHeight="1" x14ac:dyDescent="0.2">
      <c r="K40" s="1"/>
    </row>
    <row r="41" spans="1:13" ht="32.25" customHeight="1" x14ac:dyDescent="0.2">
      <c r="A41" s="222" t="s">
        <v>40</v>
      </c>
      <c r="B41" s="222"/>
      <c r="C41" s="222"/>
      <c r="D41" s="222"/>
      <c r="E41" s="222"/>
      <c r="F41" s="222"/>
      <c r="G41" s="222"/>
      <c r="H41" s="222"/>
      <c r="I41" s="222"/>
      <c r="J41" s="222"/>
      <c r="K41" s="222"/>
    </row>
    <row r="42" spans="1:13" ht="77.25" customHeight="1" x14ac:dyDescent="0.2">
      <c r="B42" s="213" t="s">
        <v>189</v>
      </c>
      <c r="C42" s="213"/>
      <c r="D42" s="213"/>
      <c r="E42" s="213"/>
      <c r="F42" s="213"/>
      <c r="G42" s="213"/>
      <c r="H42" s="213"/>
      <c r="I42" s="213"/>
      <c r="J42" s="213"/>
      <c r="K42" s="213"/>
      <c r="L42" s="29"/>
      <c r="M42" s="29"/>
    </row>
    <row r="43" spans="1:13" x14ac:dyDescent="0.2">
      <c r="K43" s="1"/>
    </row>
    <row r="45" spans="1:13" ht="14.25" customHeight="1" x14ac:dyDescent="0.25">
      <c r="A45" s="16" t="s">
        <v>33</v>
      </c>
      <c r="B45" s="17"/>
      <c r="C45" s="17"/>
      <c r="D45" s="17"/>
      <c r="G45" s="17"/>
      <c r="I45" s="16" t="s">
        <v>34</v>
      </c>
      <c r="J45" s="17"/>
      <c r="K45" s="17"/>
    </row>
    <row r="46" spans="1:13" ht="18" customHeight="1" x14ac:dyDescent="0.2">
      <c r="B46" s="213" t="s">
        <v>177</v>
      </c>
      <c r="C46" s="213"/>
      <c r="D46" s="213"/>
      <c r="E46" s="213"/>
      <c r="F46" s="213"/>
      <c r="G46" s="213"/>
      <c r="H46" s="29"/>
      <c r="I46" s="18" t="s">
        <v>35</v>
      </c>
      <c r="J46" s="17"/>
      <c r="K46" s="17"/>
    </row>
    <row r="47" spans="1:13" ht="18" customHeight="1" x14ac:dyDescent="0.2">
      <c r="B47" s="213" t="s">
        <v>178</v>
      </c>
      <c r="C47" s="213"/>
      <c r="D47" s="213"/>
      <c r="E47" s="213"/>
      <c r="F47" s="213"/>
      <c r="G47" s="213"/>
      <c r="H47" s="29"/>
      <c r="I47" s="18" t="s">
        <v>36</v>
      </c>
      <c r="J47" s="17"/>
      <c r="K47" s="17"/>
    </row>
    <row r="48" spans="1:13" ht="18" customHeight="1" x14ac:dyDescent="0.2">
      <c r="B48" s="213" t="s">
        <v>179</v>
      </c>
      <c r="C48" s="213"/>
      <c r="D48" s="213"/>
      <c r="E48" s="213"/>
      <c r="F48" s="213"/>
      <c r="G48" s="213"/>
      <c r="H48" s="29"/>
      <c r="I48" s="18" t="s">
        <v>37</v>
      </c>
      <c r="J48" s="17"/>
      <c r="K48" s="17"/>
    </row>
    <row r="49" spans="1:12" ht="18" customHeight="1" x14ac:dyDescent="0.2">
      <c r="B49" s="213" t="s">
        <v>180</v>
      </c>
      <c r="C49" s="213"/>
      <c r="D49" s="213"/>
      <c r="E49" s="213"/>
      <c r="F49" s="213"/>
      <c r="G49" s="213"/>
      <c r="H49" s="30"/>
      <c r="I49" s="31" t="s">
        <v>38</v>
      </c>
      <c r="J49" s="19"/>
      <c r="K49" s="19"/>
    </row>
    <row r="50" spans="1:12" ht="18" customHeight="1" x14ac:dyDescent="0.2">
      <c r="B50" s="213" t="s">
        <v>181</v>
      </c>
      <c r="C50" s="213"/>
      <c r="D50" s="213"/>
      <c r="E50" s="213"/>
      <c r="F50" s="213"/>
      <c r="G50" s="213"/>
      <c r="H50" s="30"/>
      <c r="J50" s="19"/>
      <c r="K50" s="19"/>
    </row>
    <row r="51" spans="1:12" ht="18" customHeight="1" x14ac:dyDescent="0.2">
      <c r="B51" s="213" t="s">
        <v>182</v>
      </c>
      <c r="C51" s="213"/>
      <c r="D51" s="213"/>
      <c r="E51" s="213"/>
      <c r="F51" s="213"/>
      <c r="G51" s="213"/>
      <c r="H51" s="30"/>
      <c r="I51" s="20"/>
      <c r="J51" s="19"/>
      <c r="K51" s="19"/>
    </row>
    <row r="52" spans="1:12" ht="18" customHeight="1" x14ac:dyDescent="0.2">
      <c r="B52" s="213" t="s">
        <v>183</v>
      </c>
      <c r="C52" s="213"/>
      <c r="D52" s="213"/>
      <c r="E52" s="213"/>
      <c r="F52" s="213"/>
      <c r="G52" s="213"/>
      <c r="H52" s="30"/>
      <c r="I52" s="17"/>
      <c r="J52" s="19"/>
      <c r="K52" s="19"/>
    </row>
    <row r="53" spans="1:12" ht="18" customHeight="1" x14ac:dyDescent="0.2">
      <c r="B53" s="213" t="s">
        <v>184</v>
      </c>
      <c r="C53" s="213"/>
      <c r="D53" s="213"/>
      <c r="E53" s="213"/>
      <c r="F53" s="213"/>
      <c r="G53" s="213"/>
      <c r="H53" s="30"/>
      <c r="I53" s="17"/>
      <c r="J53" s="19"/>
      <c r="K53" s="19"/>
    </row>
    <row r="54" spans="1:12" x14ac:dyDescent="0.2">
      <c r="A54" s="21"/>
      <c r="B54" s="19"/>
      <c r="C54" s="154"/>
      <c r="D54" s="154"/>
      <c r="E54" s="154"/>
      <c r="F54" s="154"/>
      <c r="G54" s="154"/>
      <c r="H54" s="154"/>
      <c r="I54" s="154"/>
      <c r="J54" s="154"/>
      <c r="K54" s="154"/>
    </row>
    <row r="55" spans="1:12" x14ac:dyDescent="0.2">
      <c r="C55" s="154"/>
      <c r="D55" s="154"/>
      <c r="E55" s="154"/>
      <c r="F55" s="154"/>
      <c r="G55" s="154"/>
      <c r="H55" s="154"/>
      <c r="I55" s="154"/>
      <c r="J55" s="154"/>
      <c r="K55" s="154"/>
    </row>
    <row r="56" spans="1:12" x14ac:dyDescent="0.2">
      <c r="C56" s="154" t="s">
        <v>74</v>
      </c>
      <c r="D56" s="183">
        <f>H12</f>
        <v>9499.4403084161586</v>
      </c>
      <c r="E56" s="154"/>
      <c r="F56" s="154"/>
      <c r="G56" s="154"/>
      <c r="H56" s="154"/>
      <c r="I56" s="154"/>
      <c r="J56" s="154"/>
      <c r="K56" s="154"/>
    </row>
    <row r="57" spans="1:12" x14ac:dyDescent="0.2">
      <c r="C57" s="154" t="s">
        <v>72</v>
      </c>
      <c r="D57" s="183">
        <f>H20</f>
        <v>23498.828566884571</v>
      </c>
      <c r="E57" s="154"/>
      <c r="F57" s="154"/>
      <c r="G57" s="154"/>
      <c r="H57" s="154"/>
      <c r="I57" s="154"/>
      <c r="J57" s="154"/>
      <c r="K57" s="154"/>
    </row>
    <row r="58" spans="1:12" x14ac:dyDescent="0.2">
      <c r="C58" s="154" t="s">
        <v>170</v>
      </c>
      <c r="D58" s="183">
        <f>H26</f>
        <v>4277.2121212121219</v>
      </c>
      <c r="E58" s="154"/>
      <c r="F58" s="154"/>
      <c r="G58" s="154"/>
      <c r="H58" s="154"/>
      <c r="I58" s="154"/>
      <c r="J58" s="154"/>
      <c r="K58" s="154"/>
    </row>
    <row r="59" spans="1:12" x14ac:dyDescent="0.2">
      <c r="C59" s="154"/>
      <c r="D59" s="154"/>
      <c r="E59" s="154"/>
      <c r="F59" s="154"/>
      <c r="G59" s="154"/>
      <c r="H59" s="154"/>
      <c r="I59" s="154"/>
      <c r="J59" s="154"/>
      <c r="K59" s="154"/>
    </row>
    <row r="60" spans="1:12" x14ac:dyDescent="0.2">
      <c r="C60" s="154"/>
      <c r="D60" s="154"/>
      <c r="E60" s="154"/>
      <c r="F60" s="154"/>
      <c r="G60" s="154"/>
      <c r="H60" s="154"/>
      <c r="I60" s="154"/>
      <c r="J60" s="154"/>
      <c r="K60" s="154"/>
      <c r="L60" s="171"/>
    </row>
    <row r="61" spans="1:12" x14ac:dyDescent="0.2">
      <c r="C61" s="154"/>
      <c r="D61" s="154"/>
      <c r="E61" s="154"/>
      <c r="F61" s="154"/>
      <c r="G61" s="154"/>
      <c r="H61" s="154"/>
      <c r="I61" s="154"/>
      <c r="J61" s="154"/>
      <c r="K61" s="154"/>
      <c r="L61" s="171"/>
    </row>
    <row r="62" spans="1:12" x14ac:dyDescent="0.2">
      <c r="C62" s="154"/>
      <c r="D62" s="154"/>
      <c r="E62" s="154"/>
      <c r="F62" s="154"/>
      <c r="G62" s="154"/>
      <c r="H62" s="154"/>
      <c r="I62" s="154"/>
      <c r="J62" s="154"/>
      <c r="K62" s="154"/>
      <c r="L62" s="171"/>
    </row>
    <row r="63" spans="1:12" x14ac:dyDescent="0.2">
      <c r="A63" s="154"/>
      <c r="B63" s="154"/>
      <c r="C63" s="174"/>
      <c r="D63" s="176"/>
      <c r="E63" s="176"/>
      <c r="F63" s="175"/>
      <c r="G63" s="174"/>
      <c r="H63" s="176"/>
      <c r="I63" s="176"/>
      <c r="J63" s="154"/>
      <c r="K63" s="154"/>
      <c r="L63" s="171"/>
    </row>
    <row r="64" spans="1:12" x14ac:dyDescent="0.2">
      <c r="A64" s="154"/>
      <c r="B64" s="154"/>
      <c r="C64" s="176"/>
      <c r="D64" s="174"/>
      <c r="E64" s="174"/>
      <c r="F64" s="175"/>
      <c r="G64" s="176"/>
      <c r="H64" s="174"/>
      <c r="I64" s="174"/>
      <c r="J64" s="154"/>
      <c r="K64" s="154"/>
      <c r="L64" s="171"/>
    </row>
    <row r="65" spans="1:12" x14ac:dyDescent="0.2">
      <c r="A65" s="154"/>
      <c r="B65" s="154"/>
      <c r="C65" s="176"/>
      <c r="D65" s="184"/>
      <c r="E65" s="184"/>
      <c r="F65" s="175"/>
      <c r="G65" s="175"/>
      <c r="H65" s="175"/>
      <c r="I65" s="175"/>
      <c r="J65" s="154"/>
      <c r="K65" s="154"/>
      <c r="L65" s="171"/>
    </row>
    <row r="66" spans="1:12" x14ac:dyDescent="0.2">
      <c r="A66" s="154"/>
      <c r="B66" s="154"/>
      <c r="C66" s="176"/>
      <c r="D66" s="184"/>
      <c r="E66" s="184"/>
      <c r="F66" s="175"/>
      <c r="G66" s="176"/>
      <c r="H66" s="184"/>
      <c r="I66" s="184"/>
      <c r="J66" s="154"/>
      <c r="K66" s="154"/>
      <c r="L66" s="171"/>
    </row>
    <row r="67" spans="1:12" x14ac:dyDescent="0.2">
      <c r="A67" s="154"/>
      <c r="B67" s="154"/>
      <c r="C67" s="176"/>
      <c r="D67" s="184"/>
      <c r="E67" s="184"/>
      <c r="F67" s="175"/>
      <c r="G67" s="176"/>
      <c r="H67" s="184"/>
      <c r="I67" s="184"/>
      <c r="J67" s="154"/>
      <c r="K67" s="154"/>
      <c r="L67" s="171"/>
    </row>
    <row r="68" spans="1:12" x14ac:dyDescent="0.2">
      <c r="A68" s="154"/>
      <c r="B68" s="154"/>
      <c r="C68" s="176"/>
      <c r="D68" s="184"/>
      <c r="E68" s="184"/>
      <c r="F68" s="175"/>
      <c r="G68" s="176"/>
      <c r="H68" s="184"/>
      <c r="I68" s="184"/>
      <c r="J68" s="154"/>
      <c r="K68" s="154"/>
      <c r="L68" s="171"/>
    </row>
    <row r="69" spans="1:12" x14ac:dyDescent="0.2">
      <c r="A69" s="154"/>
      <c r="B69" s="154"/>
      <c r="C69" s="176"/>
      <c r="D69" s="184"/>
      <c r="E69" s="184"/>
      <c r="F69" s="175"/>
      <c r="G69" s="176"/>
      <c r="H69" s="184"/>
      <c r="I69" s="184"/>
      <c r="J69" s="154"/>
      <c r="K69" s="154"/>
      <c r="L69" s="171"/>
    </row>
    <row r="70" spans="1:12" x14ac:dyDescent="0.2">
      <c r="A70" s="154"/>
      <c r="B70" s="154"/>
      <c r="C70" s="176"/>
      <c r="D70" s="185"/>
      <c r="E70" s="185"/>
      <c r="F70" s="175"/>
      <c r="G70" s="176"/>
      <c r="H70" s="184"/>
      <c r="I70" s="184"/>
      <c r="J70" s="154"/>
      <c r="K70" s="154"/>
      <c r="L70" s="171"/>
    </row>
    <row r="71" spans="1:12" x14ac:dyDescent="0.2">
      <c r="A71" s="154"/>
      <c r="B71" s="154"/>
      <c r="C71" s="176"/>
      <c r="D71" s="184"/>
      <c r="E71" s="184"/>
      <c r="F71" s="175"/>
      <c r="G71" s="176"/>
      <c r="H71" s="184"/>
      <c r="I71" s="184"/>
      <c r="J71" s="154"/>
      <c r="K71" s="154"/>
      <c r="L71" s="171"/>
    </row>
    <row r="72" spans="1:12" x14ac:dyDescent="0.2">
      <c r="A72" s="154"/>
      <c r="B72" s="154"/>
      <c r="C72" s="176"/>
      <c r="D72" s="175"/>
      <c r="E72" s="186"/>
      <c r="F72" s="175"/>
      <c r="G72" s="176"/>
      <c r="H72" s="184"/>
      <c r="I72" s="184"/>
      <c r="J72" s="154"/>
      <c r="K72" s="154"/>
      <c r="L72" s="171"/>
    </row>
    <row r="73" spans="1:12" x14ac:dyDescent="0.2">
      <c r="A73" s="154"/>
      <c r="B73" s="154"/>
      <c r="C73" s="176"/>
      <c r="D73" s="175"/>
      <c r="E73" s="186"/>
      <c r="F73" s="175"/>
      <c r="G73" s="175"/>
      <c r="H73" s="176"/>
      <c r="I73" s="176"/>
      <c r="J73" s="154"/>
      <c r="K73" s="154"/>
      <c r="L73" s="171"/>
    </row>
    <row r="74" spans="1:12" x14ac:dyDescent="0.2">
      <c r="A74" s="154"/>
      <c r="B74" s="154"/>
      <c r="C74" s="176"/>
      <c r="D74" s="175"/>
      <c r="E74" s="186"/>
      <c r="F74" s="175"/>
      <c r="G74" s="175"/>
      <c r="H74" s="175"/>
      <c r="I74" s="175"/>
      <c r="J74" s="154"/>
      <c r="K74" s="154"/>
      <c r="L74" s="171"/>
    </row>
    <row r="75" spans="1:12" x14ac:dyDescent="0.2">
      <c r="A75" s="154"/>
      <c r="B75" s="154"/>
      <c r="C75" s="175"/>
      <c r="D75" s="175"/>
      <c r="E75" s="175"/>
      <c r="F75" s="175"/>
      <c r="G75" s="175"/>
      <c r="H75" s="175"/>
      <c r="I75" s="175"/>
      <c r="J75" s="154"/>
      <c r="K75" s="154"/>
      <c r="L75" s="171"/>
    </row>
    <row r="76" spans="1:12" x14ac:dyDescent="0.2">
      <c r="A76" s="154"/>
      <c r="B76" s="154"/>
      <c r="C76" s="154"/>
      <c r="D76" s="154"/>
      <c r="E76" s="154"/>
      <c r="F76" s="154"/>
      <c r="G76" s="154"/>
      <c r="H76" s="154"/>
      <c r="I76" s="154"/>
      <c r="J76" s="154"/>
      <c r="K76" s="154"/>
      <c r="L76" s="171"/>
    </row>
    <row r="77" spans="1:12" x14ac:dyDescent="0.2">
      <c r="C77" s="172"/>
      <c r="D77" s="172"/>
      <c r="E77" s="172"/>
      <c r="F77" s="172"/>
      <c r="G77" s="172"/>
      <c r="H77" s="172"/>
      <c r="I77" s="172"/>
      <c r="J77" s="172"/>
      <c r="K77" s="172"/>
      <c r="L77" s="171"/>
    </row>
    <row r="78" spans="1:12" x14ac:dyDescent="0.2">
      <c r="C78" s="172"/>
      <c r="D78" s="172"/>
      <c r="E78" s="172"/>
      <c r="F78" s="172"/>
      <c r="G78" s="172"/>
      <c r="H78" s="172"/>
      <c r="I78" s="172"/>
      <c r="J78" s="172"/>
      <c r="K78" s="172"/>
      <c r="L78" s="171"/>
    </row>
    <row r="79" spans="1:12" x14ac:dyDescent="0.2">
      <c r="C79" s="172"/>
      <c r="D79" s="172"/>
      <c r="E79" s="172"/>
      <c r="F79" s="172"/>
      <c r="G79" s="172"/>
      <c r="H79" s="172"/>
      <c r="I79" s="172"/>
      <c r="J79" s="172"/>
      <c r="K79" s="172"/>
      <c r="L79" s="171"/>
    </row>
    <row r="80" spans="1:12" x14ac:dyDescent="0.2">
      <c r="C80" s="172"/>
      <c r="D80" s="172"/>
      <c r="E80" s="172"/>
      <c r="F80" s="172"/>
      <c r="G80" s="172"/>
      <c r="H80" s="172"/>
      <c r="I80" s="172"/>
      <c r="J80" s="172"/>
      <c r="K80" s="172"/>
      <c r="L80" s="171"/>
    </row>
    <row r="81" spans="3:12" x14ac:dyDescent="0.2">
      <c r="C81" s="171"/>
      <c r="D81" s="171"/>
      <c r="E81" s="171"/>
      <c r="F81" s="171"/>
      <c r="G81" s="171"/>
      <c r="H81" s="171"/>
      <c r="I81" s="171"/>
      <c r="J81" s="171"/>
      <c r="K81" s="171"/>
      <c r="L81" s="171"/>
    </row>
  </sheetData>
  <mergeCells count="47">
    <mergeCell ref="H18:J18"/>
    <mergeCell ref="C20:G20"/>
    <mergeCell ref="H20:J20"/>
    <mergeCell ref="C21:G21"/>
    <mergeCell ref="H21:J21"/>
    <mergeCell ref="B29:K29"/>
    <mergeCell ref="C31:G31"/>
    <mergeCell ref="H31:J31"/>
    <mergeCell ref="C32:G32"/>
    <mergeCell ref="H32:J32"/>
    <mergeCell ref="C26:G26"/>
    <mergeCell ref="H26:J26"/>
    <mergeCell ref="C27:G27"/>
    <mergeCell ref="H27:J27"/>
    <mergeCell ref="C24:G24"/>
    <mergeCell ref="H24:J24"/>
    <mergeCell ref="C16:G16"/>
    <mergeCell ref="C8:G8"/>
    <mergeCell ref="H8:J8"/>
    <mergeCell ref="C13:G13"/>
    <mergeCell ref="H10:J10"/>
    <mergeCell ref="H12:J12"/>
    <mergeCell ref="H13:J13"/>
    <mergeCell ref="B23:K23"/>
    <mergeCell ref="C10:G10"/>
    <mergeCell ref="B15:K15"/>
    <mergeCell ref="C18:G18"/>
    <mergeCell ref="B53:G53"/>
    <mergeCell ref="A39:K39"/>
    <mergeCell ref="A41:K41"/>
    <mergeCell ref="B42:K42"/>
    <mergeCell ref="B46:G46"/>
    <mergeCell ref="B47:G47"/>
    <mergeCell ref="B48:G48"/>
    <mergeCell ref="B49:G49"/>
    <mergeCell ref="B50:G50"/>
    <mergeCell ref="B51:G51"/>
    <mergeCell ref="B52:G52"/>
    <mergeCell ref="H16:J16"/>
    <mergeCell ref="B7:K7"/>
    <mergeCell ref="C12:G12"/>
    <mergeCell ref="A1:L1"/>
    <mergeCell ref="A2:L2"/>
    <mergeCell ref="A3:L3"/>
    <mergeCell ref="A4:L4"/>
    <mergeCell ref="C5:G5"/>
    <mergeCell ref="H5:J5"/>
  </mergeCells>
  <hyperlinks>
    <hyperlink ref="B52" r:id="rId1" display="http://www.landkreis-muenchen.de/"/>
  </hyperlinks>
  <pageMargins left="0.23622047244094491" right="0.23622047244094491" top="0.74803149606299213" bottom="0.74803149606299213" header="0.31496062992125984" footer="0.31496062992125984"/>
  <pageSetup paperSize="9" scale="95" fitToHeight="3" orientation="portrait" r:id="rId2"/>
  <headerFooter>
    <oddHeader xml:space="preserve">&amp;L&amp;G&amp;R&amp;G&amp;" ,Standard"
</oddHeader>
    <oddFooter>&amp;C&amp;"Arial,Standard"&amp;12&amp;P</oddFooter>
  </headerFooter>
  <rowBreaks count="1" manualBreakCount="1">
    <brk id="38" max="16383" man="1"/>
  </rowBreaks>
  <colBreaks count="1" manualBreakCount="1">
    <brk id="12" max="1048575" man="1"/>
  </col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2:Z58"/>
  <sheetViews>
    <sheetView zoomScale="97" zoomScaleNormal="97" workbookViewId="0">
      <selection activeCell="E5" sqref="E5"/>
    </sheetView>
  </sheetViews>
  <sheetFormatPr baseColWidth="10" defaultColWidth="11.42578125" defaultRowHeight="19.5" customHeight="1" x14ac:dyDescent="0.2"/>
  <cols>
    <col min="1" max="3" width="11.42578125" style="1"/>
    <col min="4" max="4" width="42.140625" style="1" customWidth="1"/>
    <col min="5" max="5" width="21.140625" style="1" customWidth="1"/>
    <col min="6" max="16384" width="11.42578125" style="1"/>
  </cols>
  <sheetData>
    <row r="2" spans="1:26" ht="36.950000000000003" customHeight="1" x14ac:dyDescent="0.25">
      <c r="A2" s="278" t="s">
        <v>109</v>
      </c>
      <c r="B2" s="278"/>
      <c r="C2" s="278"/>
      <c r="D2" s="278"/>
      <c r="E2" s="278"/>
      <c r="F2" s="278"/>
      <c r="G2" s="278"/>
      <c r="H2" s="278"/>
      <c r="I2" s="278"/>
      <c r="J2" s="278"/>
      <c r="N2"/>
      <c r="O2"/>
      <c r="P2"/>
      <c r="Q2"/>
      <c r="R2"/>
      <c r="S2"/>
      <c r="T2"/>
      <c r="U2"/>
      <c r="V2"/>
      <c r="W2"/>
    </row>
    <row r="3" spans="1:26" ht="33.75" customHeight="1" x14ac:dyDescent="0.3">
      <c r="A3" s="2"/>
      <c r="B3" s="2"/>
      <c r="C3" s="2"/>
      <c r="D3" s="2"/>
      <c r="E3" s="2"/>
      <c r="F3" s="2"/>
      <c r="G3" s="2"/>
      <c r="H3" s="2"/>
      <c r="I3" s="2"/>
      <c r="N3"/>
      <c r="O3"/>
      <c r="P3"/>
      <c r="Q3"/>
      <c r="R3"/>
      <c r="S3"/>
      <c r="T3"/>
      <c r="U3"/>
      <c r="V3"/>
      <c r="W3"/>
    </row>
    <row r="4" spans="1:26" ht="26.25" customHeight="1" x14ac:dyDescent="0.25">
      <c r="A4" s="14"/>
      <c r="B4" s="273" t="s">
        <v>99</v>
      </c>
      <c r="C4" s="274"/>
      <c r="D4" s="274"/>
      <c r="E4" s="274"/>
      <c r="F4" s="274"/>
      <c r="G4" s="274"/>
      <c r="H4" s="274"/>
      <c r="I4" s="275"/>
      <c r="J4" s="14"/>
      <c r="N4"/>
      <c r="O4"/>
      <c r="P4"/>
      <c r="Q4"/>
      <c r="R4"/>
      <c r="S4"/>
      <c r="T4"/>
      <c r="U4"/>
      <c r="V4"/>
      <c r="W4"/>
    </row>
    <row r="5" spans="1:26" ht="20.100000000000001" customHeight="1" x14ac:dyDescent="0.25">
      <c r="A5" s="14"/>
      <c r="B5" s="60"/>
      <c r="C5" s="61"/>
      <c r="D5" s="62" t="s">
        <v>98</v>
      </c>
      <c r="E5" s="63">
        <v>2035</v>
      </c>
      <c r="F5" s="64"/>
      <c r="G5" s="64"/>
      <c r="H5" s="64"/>
      <c r="I5" s="65"/>
      <c r="J5" s="14"/>
      <c r="N5"/>
      <c r="O5"/>
      <c r="P5"/>
      <c r="Q5"/>
      <c r="R5"/>
      <c r="S5"/>
      <c r="T5"/>
      <c r="U5"/>
      <c r="V5"/>
      <c r="W5"/>
    </row>
    <row r="6" spans="1:26" ht="19.5" customHeight="1" x14ac:dyDescent="0.25">
      <c r="A6" s="14"/>
      <c r="B6" s="14"/>
      <c r="C6" s="14"/>
      <c r="D6" s="14"/>
      <c r="E6" s="14"/>
      <c r="F6" s="14"/>
      <c r="G6" s="14"/>
      <c r="H6" s="14"/>
      <c r="I6" s="14"/>
      <c r="J6" s="14"/>
      <c r="N6"/>
      <c r="O6"/>
      <c r="P6"/>
      <c r="Q6"/>
      <c r="R6"/>
      <c r="S6"/>
      <c r="T6"/>
      <c r="U6"/>
      <c r="V6"/>
      <c r="W6"/>
    </row>
    <row r="7" spans="1:26" ht="26.25" customHeight="1" x14ac:dyDescent="0.25">
      <c r="A7" s="14"/>
      <c r="B7" s="273" t="s">
        <v>48</v>
      </c>
      <c r="C7" s="274"/>
      <c r="D7" s="274"/>
      <c r="E7" s="274"/>
      <c r="F7" s="274"/>
      <c r="G7" s="274"/>
      <c r="H7" s="274"/>
      <c r="I7" s="275"/>
      <c r="J7" s="14"/>
      <c r="N7"/>
      <c r="O7"/>
      <c r="P7"/>
      <c r="Q7"/>
      <c r="R7"/>
      <c r="S7"/>
      <c r="T7"/>
      <c r="U7"/>
      <c r="V7"/>
      <c r="W7"/>
    </row>
    <row r="8" spans="1:26" ht="20.100000000000001" customHeight="1" x14ac:dyDescent="0.25">
      <c r="A8" s="14"/>
      <c r="B8" s="58"/>
      <c r="C8" s="14"/>
      <c r="D8" s="14"/>
      <c r="E8" s="14"/>
      <c r="F8" s="33">
        <v>2025</v>
      </c>
      <c r="G8" s="33">
        <v>2030</v>
      </c>
      <c r="H8" s="33">
        <v>2035</v>
      </c>
      <c r="I8" s="46">
        <v>2040</v>
      </c>
      <c r="J8" s="14"/>
      <c r="N8"/>
      <c r="O8"/>
      <c r="P8"/>
      <c r="Q8"/>
      <c r="R8"/>
      <c r="S8"/>
      <c r="T8"/>
      <c r="U8"/>
      <c r="V8"/>
      <c r="W8"/>
    </row>
    <row r="9" spans="1:26" ht="20.100000000000001" customHeight="1" x14ac:dyDescent="0.25">
      <c r="A9" s="14"/>
      <c r="B9" s="269" t="s">
        <v>49</v>
      </c>
      <c r="C9" s="270"/>
      <c r="D9" s="270"/>
      <c r="E9" s="59"/>
      <c r="F9" s="56">
        <v>3.7999999999999999E-2</v>
      </c>
      <c r="G9" s="56">
        <v>3.7999999999999999E-2</v>
      </c>
      <c r="H9" s="56">
        <v>3.7999999999999999E-2</v>
      </c>
      <c r="I9" s="57">
        <v>3.7999999999999999E-2</v>
      </c>
      <c r="J9" s="14"/>
      <c r="N9"/>
      <c r="O9"/>
      <c r="P9"/>
      <c r="Q9"/>
      <c r="R9"/>
      <c r="S9"/>
      <c r="T9"/>
      <c r="U9"/>
      <c r="V9"/>
      <c r="W9"/>
      <c r="X9"/>
      <c r="Y9"/>
      <c r="Z9"/>
    </row>
    <row r="10" spans="1:26" ht="19.5" customHeight="1" x14ac:dyDescent="0.2">
      <c r="A10" s="14"/>
      <c r="B10" s="14"/>
      <c r="C10" s="14"/>
      <c r="D10" s="14"/>
      <c r="E10" s="14"/>
      <c r="F10" s="14"/>
      <c r="G10" s="14"/>
      <c r="H10" s="14"/>
      <c r="I10" s="14"/>
      <c r="J10" s="14"/>
    </row>
    <row r="11" spans="1:26" ht="19.5" customHeight="1" x14ac:dyDescent="0.2">
      <c r="A11" s="14"/>
      <c r="B11" s="273" t="s">
        <v>8</v>
      </c>
      <c r="C11" s="274"/>
      <c r="D11" s="274"/>
      <c r="E11" s="274"/>
      <c r="F11" s="274"/>
      <c r="G11" s="274"/>
      <c r="H11" s="274"/>
      <c r="I11" s="275"/>
      <c r="J11" s="14"/>
    </row>
    <row r="12" spans="1:26" ht="20.100000000000001" customHeight="1" x14ac:dyDescent="0.2">
      <c r="A12" s="14"/>
      <c r="B12" s="45"/>
      <c r="C12" s="35"/>
      <c r="D12" s="14"/>
      <c r="E12" s="32"/>
      <c r="F12" s="32">
        <v>2025</v>
      </c>
      <c r="G12" s="32">
        <v>2030</v>
      </c>
      <c r="H12" s="32">
        <v>2035</v>
      </c>
      <c r="I12" s="46">
        <v>2040</v>
      </c>
      <c r="J12" s="14"/>
    </row>
    <row r="13" spans="1:26" ht="20.100000000000001" customHeight="1" x14ac:dyDescent="0.2">
      <c r="A13" s="14"/>
      <c r="B13" s="279" t="s">
        <v>171</v>
      </c>
      <c r="C13" s="280"/>
      <c r="D13" s="280"/>
      <c r="E13" s="47"/>
      <c r="F13" s="48">
        <v>0</v>
      </c>
      <c r="G13" s="48">
        <v>0</v>
      </c>
      <c r="H13" s="48">
        <v>0</v>
      </c>
      <c r="I13" s="52">
        <v>0</v>
      </c>
      <c r="J13" s="14"/>
    </row>
    <row r="14" spans="1:26" ht="20.100000000000001" customHeight="1" x14ac:dyDescent="0.2">
      <c r="A14" s="14"/>
      <c r="B14" s="279" t="s">
        <v>5</v>
      </c>
      <c r="C14" s="280"/>
      <c r="D14" s="280"/>
      <c r="E14" s="34">
        <f>E46/E45</f>
        <v>8.7535680304471931E-3</v>
      </c>
      <c r="F14" s="48">
        <v>0.05</v>
      </c>
      <c r="G14" s="48">
        <v>0.3</v>
      </c>
      <c r="H14" s="48">
        <v>0.6</v>
      </c>
      <c r="I14" s="52">
        <v>1</v>
      </c>
      <c r="J14" s="14"/>
    </row>
    <row r="15" spans="1:26" ht="30" customHeight="1" x14ac:dyDescent="0.2">
      <c r="A15" s="14"/>
      <c r="B15" s="281" t="s">
        <v>50</v>
      </c>
      <c r="C15" s="282"/>
      <c r="D15" s="282"/>
      <c r="E15" s="53">
        <f>E47/E45</f>
        <v>3.5775451950523313E-2</v>
      </c>
      <c r="F15" s="50">
        <v>0</v>
      </c>
      <c r="G15" s="50">
        <v>0</v>
      </c>
      <c r="H15" s="50">
        <v>0</v>
      </c>
      <c r="I15" s="51">
        <v>0</v>
      </c>
      <c r="J15" s="14"/>
    </row>
    <row r="16" spans="1:26" ht="19.5" customHeight="1" x14ac:dyDescent="0.2">
      <c r="A16" s="14"/>
      <c r="B16" s="14"/>
      <c r="C16" s="14"/>
      <c r="D16" s="14"/>
      <c r="E16" s="14"/>
      <c r="F16" s="14"/>
      <c r="G16" s="14"/>
      <c r="H16" s="14"/>
      <c r="I16" s="14"/>
      <c r="J16" s="14"/>
    </row>
    <row r="17" spans="1:16" ht="19.5" customHeight="1" x14ac:dyDescent="0.2">
      <c r="A17" s="14"/>
      <c r="B17" s="273" t="s">
        <v>69</v>
      </c>
      <c r="C17" s="274"/>
      <c r="D17" s="274"/>
      <c r="E17" s="274"/>
      <c r="F17" s="274"/>
      <c r="G17" s="274"/>
      <c r="H17" s="274"/>
      <c r="I17" s="275"/>
      <c r="J17" s="14"/>
    </row>
    <row r="18" spans="1:16" ht="20.100000000000001" customHeight="1" x14ac:dyDescent="0.2">
      <c r="A18" s="14"/>
      <c r="B18" s="45"/>
      <c r="C18" s="35"/>
      <c r="D18" s="14"/>
      <c r="E18" s="32"/>
      <c r="F18" s="32">
        <v>2025</v>
      </c>
      <c r="G18" s="32">
        <v>2030</v>
      </c>
      <c r="H18" s="32">
        <v>2035</v>
      </c>
      <c r="I18" s="46">
        <v>2040</v>
      </c>
      <c r="J18" s="14"/>
    </row>
    <row r="19" spans="1:16" ht="20.100000000000001" customHeight="1" x14ac:dyDescent="0.2">
      <c r="A19" s="14"/>
      <c r="B19" s="279" t="s">
        <v>70</v>
      </c>
      <c r="C19" s="280"/>
      <c r="D19" s="280"/>
      <c r="E19" s="47"/>
      <c r="F19" s="54">
        <v>1.4999999999999999E-2</v>
      </c>
      <c r="G19" s="54">
        <v>1.4999999999999999E-2</v>
      </c>
      <c r="H19" s="54">
        <v>1.4999999999999999E-2</v>
      </c>
      <c r="I19" s="55">
        <v>1.4999999999999999E-2</v>
      </c>
      <c r="J19" s="14"/>
    </row>
    <row r="20" spans="1:16" ht="20.100000000000001" customHeight="1" x14ac:dyDescent="0.2">
      <c r="A20" s="14"/>
      <c r="B20" s="281" t="s">
        <v>71</v>
      </c>
      <c r="C20" s="282"/>
      <c r="D20" s="282"/>
      <c r="E20" s="49"/>
      <c r="F20" s="56">
        <v>0.03</v>
      </c>
      <c r="G20" s="56">
        <v>1.4999999999999999E-2</v>
      </c>
      <c r="H20" s="56">
        <v>1.4999999999999999E-2</v>
      </c>
      <c r="I20" s="57">
        <v>1.4999999999999999E-2</v>
      </c>
      <c r="J20" s="14"/>
    </row>
    <row r="21" spans="1:16" ht="19.5" customHeight="1" x14ac:dyDescent="0.2">
      <c r="A21" s="14"/>
      <c r="B21" s="14"/>
      <c r="C21" s="14"/>
      <c r="D21" s="14"/>
      <c r="E21" s="14"/>
      <c r="F21" s="14"/>
      <c r="G21" s="14"/>
      <c r="H21" s="14"/>
      <c r="I21" s="14"/>
      <c r="J21" s="14"/>
      <c r="L21" s="5"/>
    </row>
    <row r="22" spans="1:16" ht="19.5" customHeight="1" x14ac:dyDescent="0.2">
      <c r="A22" s="14"/>
      <c r="B22" s="273" t="s">
        <v>105</v>
      </c>
      <c r="C22" s="274"/>
      <c r="D22" s="274"/>
      <c r="E22" s="274"/>
      <c r="F22" s="274"/>
      <c r="G22" s="274"/>
      <c r="H22" s="274"/>
      <c r="I22" s="275"/>
      <c r="J22" s="14"/>
    </row>
    <row r="23" spans="1:16" ht="20.100000000000001" customHeight="1" x14ac:dyDescent="0.2">
      <c r="A23" s="14"/>
      <c r="B23" s="45"/>
      <c r="C23" s="35"/>
      <c r="D23" s="14"/>
      <c r="E23" s="32"/>
      <c r="F23" s="32">
        <v>2025</v>
      </c>
      <c r="G23" s="32">
        <v>2030</v>
      </c>
      <c r="H23" s="32">
        <v>2035</v>
      </c>
      <c r="I23" s="46">
        <v>2040</v>
      </c>
      <c r="J23" s="14"/>
    </row>
    <row r="24" spans="1:16" ht="20.100000000000001" customHeight="1" x14ac:dyDescent="0.2">
      <c r="A24" s="14"/>
      <c r="B24" s="281" t="s">
        <v>51</v>
      </c>
      <c r="C24" s="282"/>
      <c r="D24" s="282"/>
      <c r="E24" s="49"/>
      <c r="F24" s="50">
        <v>0.01</v>
      </c>
      <c r="G24" s="50">
        <v>0.01</v>
      </c>
      <c r="H24" s="50">
        <v>0.01</v>
      </c>
      <c r="I24" s="51">
        <v>0.01</v>
      </c>
      <c r="J24" s="14"/>
    </row>
    <row r="25" spans="1:16" ht="19.5" customHeight="1" x14ac:dyDescent="0.2">
      <c r="A25" s="14"/>
      <c r="B25" s="14"/>
      <c r="C25" s="14"/>
      <c r="D25" s="14"/>
      <c r="E25" s="14"/>
      <c r="F25" s="14"/>
      <c r="G25" s="14"/>
      <c r="H25" s="14"/>
      <c r="I25" s="14"/>
      <c r="J25" s="14"/>
    </row>
    <row r="26" spans="1:16" ht="19.5" customHeight="1" x14ac:dyDescent="0.2">
      <c r="A26" s="14"/>
      <c r="B26" s="273" t="s">
        <v>52</v>
      </c>
      <c r="C26" s="274"/>
      <c r="D26" s="274"/>
      <c r="E26" s="274"/>
      <c r="F26" s="274"/>
      <c r="G26" s="274"/>
      <c r="H26" s="274"/>
      <c r="I26" s="275"/>
      <c r="J26" s="14"/>
    </row>
    <row r="27" spans="1:16" ht="20.100000000000001" customHeight="1" x14ac:dyDescent="0.2">
      <c r="A27" s="14"/>
      <c r="B27" s="45"/>
      <c r="C27" s="35"/>
      <c r="D27" s="14"/>
      <c r="E27" s="32" t="s">
        <v>172</v>
      </c>
      <c r="F27" s="32">
        <v>2025</v>
      </c>
      <c r="G27" s="32">
        <v>2030</v>
      </c>
      <c r="H27" s="32">
        <v>2035</v>
      </c>
      <c r="I27" s="46">
        <v>2040</v>
      </c>
      <c r="J27" s="14"/>
    </row>
    <row r="28" spans="1:16" ht="20.100000000000001" customHeight="1" x14ac:dyDescent="0.2">
      <c r="A28" s="14"/>
      <c r="B28" s="271" t="s">
        <v>53</v>
      </c>
      <c r="C28" s="272"/>
      <c r="D28" s="272"/>
      <c r="E28" s="40"/>
      <c r="F28" s="41">
        <v>60</v>
      </c>
      <c r="G28" s="41">
        <v>40</v>
      </c>
      <c r="H28" s="41">
        <v>25</v>
      </c>
      <c r="I28" s="43">
        <v>25</v>
      </c>
      <c r="J28" s="14"/>
    </row>
    <row r="29" spans="1:16" ht="20.100000000000001" customHeight="1" x14ac:dyDescent="0.2">
      <c r="A29" s="14"/>
      <c r="B29" s="271" t="s">
        <v>54</v>
      </c>
      <c r="C29" s="272"/>
      <c r="D29" s="272"/>
      <c r="E29" s="42"/>
      <c r="F29" s="41">
        <v>80</v>
      </c>
      <c r="G29" s="41">
        <v>80</v>
      </c>
      <c r="H29" s="41">
        <v>80</v>
      </c>
      <c r="I29" s="43">
        <v>80</v>
      </c>
      <c r="J29" s="14"/>
    </row>
    <row r="30" spans="1:16" ht="20.100000000000001" customHeight="1" x14ac:dyDescent="0.2">
      <c r="A30" s="14"/>
      <c r="B30" s="269" t="s">
        <v>55</v>
      </c>
      <c r="C30" s="270"/>
      <c r="D30" s="270"/>
      <c r="E30" s="44">
        <v>150</v>
      </c>
      <c r="F30" s="38"/>
      <c r="G30" s="38"/>
      <c r="H30" s="38"/>
      <c r="I30" s="39"/>
      <c r="J30" s="35"/>
      <c r="K30" s="24"/>
      <c r="L30" s="24"/>
      <c r="M30" s="24"/>
      <c r="N30" s="24"/>
      <c r="O30" s="24"/>
      <c r="P30" s="24"/>
    </row>
    <row r="31" spans="1:16" ht="19.5" customHeight="1" x14ac:dyDescent="0.2">
      <c r="A31" s="14"/>
      <c r="B31" s="14"/>
      <c r="C31" s="14"/>
      <c r="D31" s="14"/>
      <c r="E31" s="14"/>
      <c r="F31" s="14"/>
      <c r="G31" s="14"/>
      <c r="H31" s="14"/>
      <c r="I31" s="14"/>
      <c r="J31" s="14"/>
    </row>
    <row r="32" spans="1:16" ht="19.5" customHeight="1" x14ac:dyDescent="0.2">
      <c r="A32" s="14"/>
      <c r="B32" s="273" t="s">
        <v>1</v>
      </c>
      <c r="C32" s="274"/>
      <c r="D32" s="274"/>
      <c r="E32" s="274"/>
      <c r="F32" s="274"/>
      <c r="G32" s="274"/>
      <c r="H32" s="274"/>
      <c r="I32" s="275"/>
      <c r="J32" s="14"/>
    </row>
    <row r="33" spans="1:10" ht="19.5" customHeight="1" x14ac:dyDescent="0.2">
      <c r="A33" s="14"/>
      <c r="B33" s="276"/>
      <c r="C33" s="277"/>
      <c r="D33" s="277"/>
      <c r="E33" s="33">
        <v>2020</v>
      </c>
      <c r="F33" s="33">
        <v>2025</v>
      </c>
      <c r="G33" s="33">
        <v>2030</v>
      </c>
      <c r="H33" s="33">
        <v>2035</v>
      </c>
      <c r="I33" s="46">
        <v>2040</v>
      </c>
      <c r="J33" s="14"/>
    </row>
    <row r="34" spans="1:10" ht="19.5" customHeight="1" x14ac:dyDescent="0.2">
      <c r="A34" s="14"/>
      <c r="B34" s="271" t="s">
        <v>59</v>
      </c>
      <c r="C34" s="272"/>
      <c r="D34" s="272"/>
      <c r="E34" s="69">
        <v>6600</v>
      </c>
      <c r="F34" s="69">
        <v>6800</v>
      </c>
      <c r="G34" s="69">
        <v>7000</v>
      </c>
      <c r="H34" s="69">
        <v>7100</v>
      </c>
      <c r="I34" s="70">
        <v>7200</v>
      </c>
      <c r="J34" s="14"/>
    </row>
    <row r="35" spans="1:10" ht="37.5" customHeight="1" x14ac:dyDescent="0.2">
      <c r="A35" s="14"/>
      <c r="B35" s="276"/>
      <c r="C35" s="277"/>
      <c r="D35" s="277"/>
      <c r="E35" s="32"/>
      <c r="F35" s="32" t="s">
        <v>61</v>
      </c>
      <c r="G35" s="32" t="s">
        <v>62</v>
      </c>
      <c r="H35" s="32" t="s">
        <v>63</v>
      </c>
      <c r="I35" s="71" t="s">
        <v>96</v>
      </c>
      <c r="J35" s="14"/>
    </row>
    <row r="36" spans="1:10" ht="19.5" customHeight="1" x14ac:dyDescent="0.2">
      <c r="A36" s="14"/>
      <c r="B36" s="269" t="s">
        <v>60</v>
      </c>
      <c r="C36" s="270"/>
      <c r="D36" s="270"/>
      <c r="E36" s="66"/>
      <c r="F36" s="67">
        <f>(F34-E34)/E34</f>
        <v>3.0303030303030304E-2</v>
      </c>
      <c r="G36" s="67">
        <f>(G34-F34)/F34</f>
        <v>2.9411764705882353E-2</v>
      </c>
      <c r="H36" s="67">
        <f>(H34-G34)/G34</f>
        <v>1.4285714285714285E-2</v>
      </c>
      <c r="I36" s="68">
        <f>(I34-H34)/H34</f>
        <v>1.4084507042253521E-2</v>
      </c>
      <c r="J36" s="14"/>
    </row>
    <row r="37" spans="1:10" ht="19.5" customHeight="1" x14ac:dyDescent="0.2">
      <c r="A37" s="14"/>
      <c r="B37" s="47"/>
      <c r="C37" s="47"/>
      <c r="D37" s="47"/>
      <c r="E37" s="37"/>
      <c r="F37" s="34"/>
      <c r="G37" s="34"/>
      <c r="H37" s="34"/>
      <c r="I37" s="34"/>
      <c r="J37" s="14"/>
    </row>
    <row r="38" spans="1:10" ht="19.5" customHeight="1" x14ac:dyDescent="0.2">
      <c r="A38" s="14"/>
      <c r="B38" s="273" t="s">
        <v>121</v>
      </c>
      <c r="C38" s="274"/>
      <c r="D38" s="274"/>
      <c r="E38" s="274"/>
      <c r="F38" s="274"/>
      <c r="G38" s="274"/>
      <c r="H38" s="274"/>
      <c r="I38" s="275"/>
      <c r="J38" s="14"/>
    </row>
    <row r="39" spans="1:10" ht="19.5" customHeight="1" x14ac:dyDescent="0.2">
      <c r="A39" s="14"/>
      <c r="B39" s="58"/>
      <c r="C39" s="14"/>
      <c r="D39" s="14"/>
      <c r="E39" s="84" t="s">
        <v>172</v>
      </c>
      <c r="F39" s="14"/>
      <c r="G39" s="14"/>
      <c r="H39" s="14"/>
      <c r="I39" s="82"/>
      <c r="J39" s="14"/>
    </row>
    <row r="40" spans="1:10" ht="19.5" customHeight="1" x14ac:dyDescent="0.2">
      <c r="A40" s="14"/>
      <c r="B40" s="269" t="s">
        <v>111</v>
      </c>
      <c r="C40" s="270"/>
      <c r="D40" s="270"/>
      <c r="E40" s="80">
        <v>41</v>
      </c>
      <c r="F40" s="143" t="s">
        <v>188</v>
      </c>
      <c r="G40" s="61"/>
      <c r="H40" s="61"/>
      <c r="I40" s="83"/>
      <c r="J40" s="14"/>
    </row>
    <row r="41" spans="1:10" ht="19.5" customHeight="1" x14ac:dyDescent="0.2">
      <c r="A41" s="14"/>
      <c r="B41" s="47"/>
      <c r="C41" s="47"/>
      <c r="D41" s="47"/>
      <c r="E41" s="37"/>
      <c r="F41" s="34"/>
      <c r="G41" s="34"/>
      <c r="H41" s="34"/>
      <c r="I41" s="34"/>
      <c r="J41" s="14"/>
    </row>
    <row r="42" spans="1:10" ht="19.5" customHeight="1" x14ac:dyDescent="0.2">
      <c r="A42" s="14"/>
      <c r="B42" s="273" t="s">
        <v>64</v>
      </c>
      <c r="C42" s="274"/>
      <c r="D42" s="274"/>
      <c r="E42" s="274"/>
      <c r="F42" s="274"/>
      <c r="G42" s="274"/>
      <c r="H42" s="274"/>
      <c r="I42" s="275"/>
      <c r="J42" s="14"/>
    </row>
    <row r="43" spans="1:10" ht="19.5" customHeight="1" x14ac:dyDescent="0.2">
      <c r="A43" s="14"/>
      <c r="B43" s="276"/>
      <c r="C43" s="277"/>
      <c r="D43" s="277"/>
      <c r="E43" s="33">
        <v>2020</v>
      </c>
      <c r="F43" s="33">
        <v>2025</v>
      </c>
      <c r="G43" s="33">
        <v>2030</v>
      </c>
      <c r="H43" s="33">
        <v>2035</v>
      </c>
      <c r="I43" s="46">
        <v>2040</v>
      </c>
      <c r="J43" s="14"/>
    </row>
    <row r="44" spans="1:10" ht="19.5" customHeight="1" x14ac:dyDescent="0.2">
      <c r="A44" s="14"/>
      <c r="B44" s="271" t="s">
        <v>110</v>
      </c>
      <c r="C44" s="272"/>
      <c r="D44" s="272"/>
      <c r="E44" s="73">
        <v>0.79621212121212126</v>
      </c>
      <c r="F44" s="73">
        <f>E44*(1+(F13*(F43-E43)))</f>
        <v>0.79621212121212126</v>
      </c>
      <c r="G44" s="73">
        <f t="shared" ref="G44:I44" si="0">F44*(1+(G13*(G43-F43)))</f>
        <v>0.79621212121212126</v>
      </c>
      <c r="H44" s="73">
        <f t="shared" si="0"/>
        <v>0.79621212121212126</v>
      </c>
      <c r="I44" s="188">
        <f t="shared" si="0"/>
        <v>0.79621212121212126</v>
      </c>
      <c r="J44" s="14"/>
    </row>
    <row r="45" spans="1:10" ht="19.5" customHeight="1" x14ac:dyDescent="0.2">
      <c r="A45" s="14"/>
      <c r="B45" s="271" t="s">
        <v>4</v>
      </c>
      <c r="C45" s="272"/>
      <c r="D45" s="272"/>
      <c r="E45" s="69">
        <v>5255</v>
      </c>
      <c r="F45" s="36">
        <f>F44*F34</f>
        <v>5414.2424242424249</v>
      </c>
      <c r="G45" s="36">
        <f t="shared" ref="G45:I45" si="1">G44*G34</f>
        <v>5573.484848484849</v>
      </c>
      <c r="H45" s="36">
        <f t="shared" si="1"/>
        <v>5653.106060606061</v>
      </c>
      <c r="I45" s="74">
        <f t="shared" si="1"/>
        <v>5732.727272727273</v>
      </c>
      <c r="J45" s="14"/>
    </row>
    <row r="46" spans="1:10" ht="19.5" customHeight="1" x14ac:dyDescent="0.2">
      <c r="A46" s="14"/>
      <c r="B46" s="271" t="s">
        <v>2</v>
      </c>
      <c r="C46" s="272"/>
      <c r="D46" s="272"/>
      <c r="E46" s="69">
        <v>46</v>
      </c>
      <c r="F46" s="36">
        <f>F$45*F$14</f>
        <v>270.71212121212125</v>
      </c>
      <c r="G46" s="36">
        <f>G$45*G$14</f>
        <v>1672.0454545454547</v>
      </c>
      <c r="H46" s="36">
        <f>H$45*H$14</f>
        <v>3391.8636363636365</v>
      </c>
      <c r="I46" s="74">
        <f>I$45*I$14</f>
        <v>5732.727272727273</v>
      </c>
      <c r="J46" s="14"/>
    </row>
    <row r="47" spans="1:10" ht="19.5" customHeight="1" x14ac:dyDescent="0.2">
      <c r="A47" s="14"/>
      <c r="B47" s="269" t="s">
        <v>3</v>
      </c>
      <c r="C47" s="270"/>
      <c r="D47" s="270"/>
      <c r="E47" s="75">
        <v>188</v>
      </c>
      <c r="F47" s="76">
        <f>F$45*F$15</f>
        <v>0</v>
      </c>
      <c r="G47" s="76">
        <f>G$45*G$15</f>
        <v>0</v>
      </c>
      <c r="H47" s="76">
        <f>H$45*H$15</f>
        <v>0</v>
      </c>
      <c r="I47" s="77">
        <f>I$45*I$15</f>
        <v>0</v>
      </c>
      <c r="J47" s="14"/>
    </row>
    <row r="48" spans="1:10" ht="19.5" customHeight="1" x14ac:dyDescent="0.2">
      <c r="A48" s="14"/>
      <c r="B48" s="14"/>
      <c r="C48" s="14"/>
      <c r="D48" s="14"/>
      <c r="E48" s="14"/>
      <c r="F48" s="14"/>
      <c r="G48" s="14"/>
      <c r="H48" s="14"/>
      <c r="I48" s="14"/>
      <c r="J48" s="14"/>
    </row>
    <row r="49" spans="1:10" ht="19.5" customHeight="1" x14ac:dyDescent="0.2">
      <c r="A49" s="14"/>
      <c r="B49" s="273" t="s">
        <v>58</v>
      </c>
      <c r="C49" s="274"/>
      <c r="D49" s="274"/>
      <c r="E49" s="274"/>
      <c r="F49" s="274"/>
      <c r="G49" s="274"/>
      <c r="H49" s="274"/>
      <c r="I49" s="275"/>
      <c r="J49" s="14"/>
    </row>
    <row r="50" spans="1:10" ht="19.5" customHeight="1" x14ac:dyDescent="0.2">
      <c r="A50" s="14"/>
      <c r="B50" s="276"/>
      <c r="C50" s="277"/>
      <c r="D50" s="277"/>
      <c r="E50" s="33">
        <v>2020</v>
      </c>
      <c r="F50" s="33">
        <v>2025</v>
      </c>
      <c r="G50" s="33">
        <v>2030</v>
      </c>
      <c r="H50" s="33">
        <v>2035</v>
      </c>
      <c r="I50" s="46">
        <v>2040</v>
      </c>
      <c r="J50" s="14"/>
    </row>
    <row r="51" spans="1:10" ht="19.5" customHeight="1" x14ac:dyDescent="0.2">
      <c r="A51" s="14"/>
      <c r="B51" s="271" t="s">
        <v>57</v>
      </c>
      <c r="C51" s="272"/>
      <c r="D51" s="272"/>
      <c r="E51" s="78">
        <v>3</v>
      </c>
      <c r="F51" s="78">
        <v>3</v>
      </c>
      <c r="G51" s="78">
        <v>3</v>
      </c>
      <c r="H51" s="78">
        <v>3</v>
      </c>
      <c r="I51" s="79">
        <v>3</v>
      </c>
      <c r="J51" s="14"/>
    </row>
    <row r="52" spans="1:10" ht="19.5" customHeight="1" x14ac:dyDescent="0.2">
      <c r="A52" s="14"/>
      <c r="B52" s="269" t="s">
        <v>9</v>
      </c>
      <c r="C52" s="270"/>
      <c r="D52" s="270"/>
      <c r="E52" s="80">
        <v>0.25</v>
      </c>
      <c r="F52" s="80">
        <v>0.25</v>
      </c>
      <c r="G52" s="80">
        <v>0.25</v>
      </c>
      <c r="H52" s="80">
        <v>0.25</v>
      </c>
      <c r="I52" s="81">
        <v>0.25</v>
      </c>
      <c r="J52" s="14"/>
    </row>
    <row r="53" spans="1:10" ht="19.5" customHeight="1" x14ac:dyDescent="0.25">
      <c r="A53" s="14"/>
      <c r="B53" s="47"/>
      <c r="C53" s="47"/>
      <c r="D53" s="47"/>
      <c r="E53"/>
      <c r="F53"/>
      <c r="G53"/>
      <c r="H53"/>
      <c r="I53"/>
      <c r="J53" s="14"/>
    </row>
    <row r="54" spans="1:10" ht="19.5" customHeight="1" x14ac:dyDescent="0.2">
      <c r="A54" s="14"/>
      <c r="B54" s="273" t="s">
        <v>65</v>
      </c>
      <c r="C54" s="274"/>
      <c r="D54" s="274"/>
      <c r="E54" s="274"/>
      <c r="F54" s="274"/>
      <c r="G54" s="274"/>
      <c r="H54" s="274"/>
      <c r="I54" s="275"/>
      <c r="J54" s="14"/>
    </row>
    <row r="55" spans="1:10" ht="19.5" customHeight="1" x14ac:dyDescent="0.2">
      <c r="A55" s="14"/>
      <c r="B55" s="271" t="s">
        <v>146</v>
      </c>
      <c r="C55" s="272"/>
      <c r="D55" s="272"/>
      <c r="E55" s="78">
        <v>30</v>
      </c>
      <c r="F55" s="14"/>
      <c r="G55" s="14"/>
      <c r="H55" s="14"/>
      <c r="I55" s="82"/>
      <c r="J55" s="14"/>
    </row>
    <row r="56" spans="1:10" ht="19.5" customHeight="1" x14ac:dyDescent="0.2">
      <c r="A56" s="14"/>
      <c r="B56" s="271" t="s">
        <v>168</v>
      </c>
      <c r="C56" s="272"/>
      <c r="D56" s="272"/>
      <c r="E56" s="78">
        <v>5</v>
      </c>
      <c r="F56" s="14"/>
      <c r="G56" s="14"/>
      <c r="H56" s="14"/>
      <c r="I56" s="82"/>
      <c r="J56" s="14"/>
    </row>
    <row r="57" spans="1:10" ht="19.5" customHeight="1" x14ac:dyDescent="0.2">
      <c r="A57" s="14"/>
      <c r="B57" s="269" t="s">
        <v>169</v>
      </c>
      <c r="C57" s="270"/>
      <c r="D57" s="270"/>
      <c r="E57" s="80">
        <v>3</v>
      </c>
      <c r="F57" s="61"/>
      <c r="G57" s="61"/>
      <c r="H57" s="61"/>
      <c r="I57" s="83"/>
      <c r="J57" s="14"/>
    </row>
    <row r="58" spans="1:10" ht="19.5" customHeight="1" x14ac:dyDescent="0.2">
      <c r="A58" s="14"/>
      <c r="B58" s="14"/>
      <c r="C58" s="14"/>
      <c r="D58" s="14"/>
      <c r="E58" s="144"/>
      <c r="F58" s="14"/>
      <c r="G58" s="14"/>
      <c r="H58" s="14"/>
      <c r="I58" s="14"/>
      <c r="J58" s="14"/>
    </row>
  </sheetData>
  <mergeCells count="38">
    <mergeCell ref="A2:J2"/>
    <mergeCell ref="B28:D28"/>
    <mergeCell ref="B29:D29"/>
    <mergeCell ref="B9:D9"/>
    <mergeCell ref="B13:D13"/>
    <mergeCell ref="B7:I7"/>
    <mergeCell ref="B11:I11"/>
    <mergeCell ref="B15:D15"/>
    <mergeCell ref="B20:D20"/>
    <mergeCell ref="B24:D24"/>
    <mergeCell ref="B17:I17"/>
    <mergeCell ref="B14:D14"/>
    <mergeCell ref="B4:I4"/>
    <mergeCell ref="B19:D19"/>
    <mergeCell ref="B56:D56"/>
    <mergeCell ref="B22:I22"/>
    <mergeCell ref="B26:I26"/>
    <mergeCell ref="B30:D30"/>
    <mergeCell ref="B32:I32"/>
    <mergeCell ref="B33:D33"/>
    <mergeCell ref="B55:D55"/>
    <mergeCell ref="B54:I54"/>
    <mergeCell ref="B57:D57"/>
    <mergeCell ref="B34:D34"/>
    <mergeCell ref="B36:D36"/>
    <mergeCell ref="B45:D45"/>
    <mergeCell ref="B46:D46"/>
    <mergeCell ref="B51:D51"/>
    <mergeCell ref="B52:D52"/>
    <mergeCell ref="B47:D47"/>
    <mergeCell ref="B44:D44"/>
    <mergeCell ref="B42:I42"/>
    <mergeCell ref="B38:I38"/>
    <mergeCell ref="B35:D35"/>
    <mergeCell ref="B50:D50"/>
    <mergeCell ref="B43:D43"/>
    <mergeCell ref="B40:D40"/>
    <mergeCell ref="B49:I49"/>
  </mergeCells>
  <dataValidations count="1">
    <dataValidation type="list" allowBlank="1" showInputMessage="1" showErrorMessage="1" sqref="E5">
      <formula1>$G$8:$I$8</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J271"/>
  <sheetViews>
    <sheetView topLeftCell="A5" zoomScaleNormal="100" workbookViewId="0">
      <selection activeCell="C46" sqref="C46"/>
    </sheetView>
  </sheetViews>
  <sheetFormatPr baseColWidth="10" defaultColWidth="10.85546875" defaultRowHeight="14.25" x14ac:dyDescent="0.2"/>
  <cols>
    <col min="1" max="1" width="10.85546875" style="1"/>
    <col min="2" max="2" width="44.7109375" style="1" customWidth="1"/>
    <col min="3" max="3" width="17" style="1" customWidth="1"/>
    <col min="4" max="4" width="14.85546875" style="1" customWidth="1"/>
    <col min="5" max="5" width="15" style="1" customWidth="1"/>
    <col min="6" max="6" width="11.85546875" style="1" bestFit="1" customWidth="1"/>
    <col min="7" max="7" width="14.42578125" style="1" bestFit="1" customWidth="1"/>
    <col min="8" max="8" width="14.42578125" style="1" customWidth="1"/>
    <col min="9" max="16384" width="10.85546875" style="1"/>
  </cols>
  <sheetData>
    <row r="2" spans="1:8" ht="38.1" customHeight="1" x14ac:dyDescent="0.2">
      <c r="A2" s="278" t="s">
        <v>112</v>
      </c>
      <c r="B2" s="278"/>
      <c r="C2" s="278"/>
      <c r="D2" s="278"/>
      <c r="E2" s="278"/>
      <c r="F2" s="278"/>
      <c r="G2" s="278"/>
      <c r="H2" s="278"/>
    </row>
    <row r="5" spans="1:8" s="26" customFormat="1" ht="34.5" customHeight="1" x14ac:dyDescent="0.25">
      <c r="B5" s="283" t="s">
        <v>74</v>
      </c>
      <c r="C5" s="283"/>
      <c r="D5" s="283"/>
      <c r="E5" s="283"/>
      <c r="F5" s="283"/>
      <c r="G5" s="283"/>
    </row>
    <row r="7" spans="1:8" x14ac:dyDescent="0.2">
      <c r="B7" s="14"/>
      <c r="C7" s="14"/>
      <c r="D7" s="14"/>
      <c r="E7" s="14"/>
      <c r="F7" s="14"/>
      <c r="G7" s="14"/>
      <c r="H7" s="14"/>
    </row>
    <row r="8" spans="1:8" ht="20.100000000000001" customHeight="1" x14ac:dyDescent="0.2">
      <c r="B8" s="273" t="s">
        <v>66</v>
      </c>
      <c r="C8" s="274"/>
      <c r="D8" s="274"/>
      <c r="E8" s="274"/>
      <c r="F8" s="274"/>
      <c r="G8" s="274"/>
      <c r="H8" s="14"/>
    </row>
    <row r="9" spans="1:8" ht="19.5" customHeight="1" x14ac:dyDescent="0.2">
      <c r="B9" s="86"/>
      <c r="C9" s="91">
        <v>2018</v>
      </c>
      <c r="D9" s="91">
        <v>2025</v>
      </c>
      <c r="E9" s="91">
        <v>2030</v>
      </c>
      <c r="F9" s="91">
        <v>2035</v>
      </c>
      <c r="G9" s="92">
        <v>2040</v>
      </c>
      <c r="H9" s="14"/>
    </row>
    <row r="10" spans="1:8" ht="19.5" customHeight="1" x14ac:dyDescent="0.2">
      <c r="B10" s="87" t="s">
        <v>68</v>
      </c>
      <c r="C10" s="93">
        <v>31778.09</v>
      </c>
      <c r="D10" s="94">
        <f>D11+D12+D13+D14+D15</f>
        <v>32962.580012509374</v>
      </c>
      <c r="E10" s="94">
        <f>E11+E12+E13+E14+D15</f>
        <v>39626.179647387195</v>
      </c>
      <c r="F10" s="94">
        <f>F11+F12+F13+F14+D15</f>
        <v>47497.201542080787</v>
      </c>
      <c r="G10" s="95">
        <f>G11+G12+G13+G14+D15</f>
        <v>57629.734619974261</v>
      </c>
      <c r="H10" s="14"/>
    </row>
    <row r="11" spans="1:8" ht="19.5" customHeight="1" x14ac:dyDescent="0.2">
      <c r="B11" s="88" t="s">
        <v>6</v>
      </c>
      <c r="C11" s="96">
        <v>7988.01</v>
      </c>
      <c r="D11" s="97">
        <f>C11/'Basis-Annahmen'!E34*((1-'Basis-Annahmen'!F19)^(D9-C9))*'Basis-Annahmen'!F34</f>
        <v>7403.8428236234759</v>
      </c>
      <c r="E11" s="97">
        <f>D11/'Basis-Annahmen'!F34*((1-'Basis-Annahmen'!G19)^5)*'Basis-Annahmen'!G34</f>
        <v>7066.875989543375</v>
      </c>
      <c r="F11" s="97">
        <f>E11/'Basis-Annahmen'!G34*((1-'Basis-Annahmen'!H19)^5)*'Basis-Annahmen'!H34</f>
        <v>6646.1315239285386</v>
      </c>
      <c r="G11" s="98">
        <f>F11/'Basis-Annahmen'!H34*((1-'Basis-Annahmen'!I19)^5)*'Basis-Annahmen'!I34</f>
        <v>6249.1972318772359</v>
      </c>
      <c r="H11" s="14"/>
    </row>
    <row r="12" spans="1:8" ht="19.5" customHeight="1" x14ac:dyDescent="0.2">
      <c r="B12" s="88" t="s">
        <v>104</v>
      </c>
      <c r="C12" s="96">
        <v>23058.16</v>
      </c>
      <c r="D12" s="97">
        <f>((1-'Basis-Annahmen'!F20)^(D9-C9))*((1+'Basis-Annahmen'!F9)^(D9-C9))*C12</f>
        <v>24188.462435731624</v>
      </c>
      <c r="E12" s="97">
        <f>((1-'Basis-Annahmen'!G20)^5)*((1+'Basis-Annahmen'!G9)^5)*D12</f>
        <v>27025.652168842673</v>
      </c>
      <c r="F12" s="97">
        <f>((1-'Basis-Annahmen'!H20)^5)*((1+'Basis-Annahmen'!H9)^5)*E12</f>
        <v>30195.630544599302</v>
      </c>
      <c r="G12" s="98">
        <f>((1-'Basis-Annahmen'!I20)^5)*((1+'Basis-Annahmen'!I9)^5)*F12</f>
        <v>33737.432062309548</v>
      </c>
      <c r="H12" s="14"/>
    </row>
    <row r="13" spans="1:8" ht="19.5" customHeight="1" x14ac:dyDescent="0.2">
      <c r="B13" s="88" t="s">
        <v>7</v>
      </c>
      <c r="C13" s="96">
        <v>690.78</v>
      </c>
      <c r="D13" s="97">
        <f>C13*((1-'Basis-Annahmen'!F20)^(D9-C9))</f>
        <v>558.13838951790888</v>
      </c>
      <c r="E13" s="97">
        <f>D13*((1-'Basis-Annahmen'!G20)^5)</f>
        <v>517.51512536477833</v>
      </c>
      <c r="F13" s="97">
        <f>E13*((1-'Basis-Annahmen'!H20)^5)</f>
        <v>479.8485644620377</v>
      </c>
      <c r="G13" s="98">
        <f>F13*((1-'Basis-Annahmen'!I20)^5)</f>
        <v>444.92350760565677</v>
      </c>
      <c r="H13" s="14"/>
    </row>
    <row r="14" spans="1:8" ht="19.5" customHeight="1" x14ac:dyDescent="0.2">
      <c r="B14" s="88" t="s">
        <v>8</v>
      </c>
      <c r="C14" s="96"/>
      <c r="D14" s="97">
        <f>'Basis-Annahmen'!F46*'Basis-Annahmen'!F51+'Basis-Annahmen'!F47*'Basis-Annahmen'!F52</f>
        <v>812.13636363636374</v>
      </c>
      <c r="E14" s="97">
        <f>'Basis-Annahmen'!G46*'Basis-Annahmen'!G51+'Basis-Annahmen'!G47*'Basis-Annahmen'!G52</f>
        <v>5016.136363636364</v>
      </c>
      <c r="F14" s="97">
        <f>'Basis-Annahmen'!H46*'Basis-Annahmen'!H51+'Basis-Annahmen'!H47*'Basis-Annahmen'!H52</f>
        <v>10175.59090909091</v>
      </c>
      <c r="G14" s="98">
        <f>'Basis-Annahmen'!I46*'Basis-Annahmen'!I51+'Basis-Annahmen'!I47*'Basis-Annahmen'!I52</f>
        <v>17198.18181818182</v>
      </c>
      <c r="H14" s="14"/>
    </row>
    <row r="15" spans="1:8" ht="19.5" customHeight="1" x14ac:dyDescent="0.2">
      <c r="B15" s="90" t="s">
        <v>72</v>
      </c>
      <c r="C15" s="99"/>
      <c r="D15" s="285">
        <f>Ausbauziel_Wärme!J33/'Basis-Annahmen'!E56+Ausbauziel_Wärme!J34/'Basis-Annahmen'!E57+Ausbauziel_Wärme!J30/'Basis-Annahmen'!E55</f>
        <v>0</v>
      </c>
      <c r="E15" s="285"/>
      <c r="F15" s="285"/>
      <c r="G15" s="286"/>
      <c r="H15" s="14"/>
    </row>
    <row r="16" spans="1:8" ht="19.5" customHeight="1" x14ac:dyDescent="0.2">
      <c r="B16" s="88" t="s">
        <v>186</v>
      </c>
      <c r="C16" s="106"/>
      <c r="D16" s="101">
        <f>(D10-$C$10)/$C$10</f>
        <v>3.7273795011260075E-2</v>
      </c>
      <c r="E16" s="101">
        <f>(E10-$C$10)/$C$10</f>
        <v>0.24696542955813877</v>
      </c>
      <c r="F16" s="101">
        <f t="shared" ref="F16" si="0">(F10-$C$10)/$C$10</f>
        <v>0.49465249617207285</v>
      </c>
      <c r="G16" s="102">
        <f>(G10-$C$10)/$C$10</f>
        <v>0.81350529940516436</v>
      </c>
      <c r="H16" s="14"/>
    </row>
    <row r="17" spans="1:10" ht="19.5" customHeight="1" x14ac:dyDescent="0.2">
      <c r="B17" s="89" t="s">
        <v>97</v>
      </c>
      <c r="C17" s="107"/>
      <c r="D17" s="104">
        <f>D14/D10</f>
        <v>2.4638130975432024E-2</v>
      </c>
      <c r="E17" s="104">
        <f>E14/E10</f>
        <v>0.12658642362883221</v>
      </c>
      <c r="F17" s="104">
        <f>F14/F10</f>
        <v>0.21423558817619409</v>
      </c>
      <c r="G17" s="105">
        <f>G14/G10</f>
        <v>0.29842549044501399</v>
      </c>
      <c r="H17" s="14"/>
    </row>
    <row r="18" spans="1:10" x14ac:dyDescent="0.2">
      <c r="B18" s="14"/>
      <c r="C18" s="14"/>
      <c r="D18" s="14"/>
      <c r="E18" s="14"/>
      <c r="F18" s="14"/>
      <c r="G18" s="14"/>
      <c r="H18" s="14"/>
    </row>
    <row r="19" spans="1:10" ht="20.100000000000001" customHeight="1" x14ac:dyDescent="0.2">
      <c r="B19" s="273" t="s">
        <v>73</v>
      </c>
      <c r="C19" s="274"/>
      <c r="D19" s="274"/>
      <c r="E19" s="274"/>
      <c r="F19" s="274"/>
      <c r="G19" s="275"/>
      <c r="H19" s="14"/>
    </row>
    <row r="20" spans="1:10" s="14" customFormat="1" ht="19.5" customHeight="1" x14ac:dyDescent="0.2">
      <c r="B20" s="108"/>
      <c r="C20" s="91">
        <v>2018</v>
      </c>
      <c r="D20" s="91"/>
      <c r="E20" s="91"/>
      <c r="F20" s="91"/>
      <c r="G20" s="92"/>
    </row>
    <row r="21" spans="1:10" s="14" customFormat="1" ht="19.5" customHeight="1" x14ac:dyDescent="0.2">
      <c r="B21" s="120" t="s">
        <v>22</v>
      </c>
      <c r="C21" s="121">
        <v>2202</v>
      </c>
      <c r="G21" s="111"/>
    </row>
    <row r="22" spans="1:10" s="14" customFormat="1" ht="19.5" customHeight="1" x14ac:dyDescent="0.2">
      <c r="B22" s="110" t="s">
        <v>14</v>
      </c>
      <c r="C22" s="122"/>
      <c r="D22" s="112"/>
      <c r="E22" s="112"/>
      <c r="G22" s="82"/>
    </row>
    <row r="23" spans="1:10" s="14" customFormat="1" ht="19.5" customHeight="1" x14ac:dyDescent="0.2">
      <c r="B23" s="110" t="s">
        <v>15</v>
      </c>
      <c r="C23" s="122">
        <v>2202</v>
      </c>
      <c r="D23" s="112"/>
      <c r="E23" s="112"/>
      <c r="G23" s="82"/>
      <c r="J23" s="146"/>
    </row>
    <row r="24" spans="1:10" s="14" customFormat="1" ht="19.5" customHeight="1" x14ac:dyDescent="0.2">
      <c r="B24" s="110" t="s">
        <v>16</v>
      </c>
      <c r="C24" s="122"/>
      <c r="D24" s="112"/>
      <c r="E24" s="112"/>
      <c r="G24" s="82"/>
    </row>
    <row r="25" spans="1:10" s="14" customFormat="1" ht="19.5" customHeight="1" x14ac:dyDescent="0.2">
      <c r="B25" s="110" t="s">
        <v>21</v>
      </c>
      <c r="C25" s="122"/>
      <c r="D25" s="112"/>
      <c r="E25" s="112"/>
      <c r="G25" s="82"/>
    </row>
    <row r="26" spans="1:10" s="14" customFormat="1" ht="19.5" customHeight="1" x14ac:dyDescent="0.2">
      <c r="B26" s="110" t="s">
        <v>17</v>
      </c>
      <c r="C26" s="122"/>
      <c r="D26" s="112"/>
      <c r="E26" s="112"/>
      <c r="G26" s="82"/>
    </row>
    <row r="27" spans="1:10" s="14" customFormat="1" ht="19.5" customHeight="1" x14ac:dyDescent="0.2">
      <c r="B27" s="110" t="s">
        <v>0</v>
      </c>
      <c r="C27" s="123"/>
      <c r="D27" s="112"/>
      <c r="E27" s="112"/>
      <c r="G27" s="82"/>
    </row>
    <row r="28" spans="1:10" s="14" customFormat="1" ht="19.5" customHeight="1" x14ac:dyDescent="0.2">
      <c r="B28" s="109"/>
      <c r="C28" s="123"/>
      <c r="D28" s="112"/>
      <c r="E28" s="112"/>
      <c r="G28" s="82"/>
    </row>
    <row r="29" spans="1:10" s="14" customFormat="1" ht="19.5" customHeight="1" x14ac:dyDescent="0.2">
      <c r="B29" s="124" t="s">
        <v>113</v>
      </c>
      <c r="C29" s="126">
        <f>IF(C10-C21&lt;0,0,C10-C21)</f>
        <v>29576.09</v>
      </c>
      <c r="D29" s="61"/>
      <c r="E29" s="61"/>
      <c r="F29" s="61"/>
      <c r="G29" s="127"/>
    </row>
    <row r="30" spans="1:10" x14ac:dyDescent="0.2">
      <c r="B30" s="14"/>
      <c r="C30" s="14"/>
      <c r="D30" s="14"/>
      <c r="E30" s="14"/>
      <c r="F30" s="14"/>
      <c r="G30" s="14"/>
      <c r="H30" s="14"/>
    </row>
    <row r="31" spans="1:10" x14ac:dyDescent="0.2">
      <c r="B31" s="14"/>
      <c r="C31" s="14"/>
      <c r="D31" s="14"/>
      <c r="E31" s="14"/>
      <c r="F31" s="14"/>
      <c r="G31" s="14"/>
      <c r="H31" s="14"/>
    </row>
    <row r="32" spans="1:10" ht="34.5" customHeight="1" x14ac:dyDescent="0.2">
      <c r="A32" s="128"/>
      <c r="B32" s="284" t="s">
        <v>72</v>
      </c>
      <c r="C32" s="284"/>
      <c r="D32" s="284"/>
      <c r="E32" s="284"/>
      <c r="F32" s="284"/>
      <c r="G32" s="284"/>
      <c r="H32" s="14"/>
    </row>
    <row r="35" spans="1:8" ht="19.5" customHeight="1" x14ac:dyDescent="0.2">
      <c r="A35" s="14"/>
      <c r="B35" s="273" t="s">
        <v>67</v>
      </c>
      <c r="C35" s="274"/>
      <c r="D35" s="274"/>
      <c r="E35" s="274"/>
      <c r="F35" s="274"/>
      <c r="G35" s="274"/>
      <c r="H35" s="14"/>
    </row>
    <row r="36" spans="1:8" ht="19.5" customHeight="1" x14ac:dyDescent="0.2">
      <c r="A36" s="14"/>
      <c r="B36" s="86"/>
      <c r="C36" s="91">
        <v>2018</v>
      </c>
      <c r="D36" s="91">
        <v>2025</v>
      </c>
      <c r="E36" s="91">
        <v>2030</v>
      </c>
      <c r="F36" s="91">
        <v>2035</v>
      </c>
      <c r="G36" s="92">
        <v>2040</v>
      </c>
      <c r="H36" s="14"/>
    </row>
    <row r="37" spans="1:8" ht="19.5" customHeight="1" x14ac:dyDescent="0.2">
      <c r="A37" s="14"/>
      <c r="B37" s="115" t="s">
        <v>68</v>
      </c>
      <c r="C37" s="93">
        <v>75078</v>
      </c>
      <c r="D37" s="94">
        <f>SUM(D38:D40)</f>
        <v>83212.612680805512</v>
      </c>
      <c r="E37" s="94">
        <f>SUM(E38:E40)</f>
        <v>90140.092866158782</v>
      </c>
      <c r="F37" s="94">
        <f t="shared" ref="F37:G37" si="1">SUM(F38:F40)</f>
        <v>97911.785695352373</v>
      </c>
      <c r="G37" s="95">
        <f t="shared" si="1"/>
        <v>106937.37616076347</v>
      </c>
      <c r="H37" s="14"/>
    </row>
    <row r="38" spans="1:8" ht="19.5" customHeight="1" x14ac:dyDescent="0.2">
      <c r="A38" s="14"/>
      <c r="B38" s="113" t="s">
        <v>6</v>
      </c>
      <c r="C38" s="96">
        <v>30922.57</v>
      </c>
      <c r="D38" s="97">
        <f>C38-((('Basis-Annahmen'!$E$40*'Basis-Annahmen'!$E$34*Ausbauziel_Wärme!F$22*(D36-C36))*('Basis-Annahmen'!$E$30-'Basis-Annahmen'!F$29))/1000)+((IF('Basis-Annahmen'!F$34-'Basis-Annahmen'!E$34&lt;0,0,('Basis-Annahmen'!F$34-'Basis-Annahmen'!E$34)*('Basis-Annahmen'!$E$40*'Basis-Annahmen'!F28/1000))))</f>
        <v>30088.63</v>
      </c>
      <c r="E38" s="97">
        <f>D38-((('Basis-Annahmen'!$E$40*'Basis-Annahmen'!$E$34*Ausbauziel_Wärme!G$22*5)*('Basis-Annahmen'!$E$30-'Basis-Annahmen'!G$29))/1000)+((IF('Basis-Annahmen'!G$34-'Basis-Annahmen'!F$34&lt;0,0,('Basis-Annahmen'!G$34-'Basis-Annahmen'!F$34)*('Basis-Annahmen'!$E$40*'Basis-Annahmen'!G28/1000))))</f>
        <v>29469.530000000002</v>
      </c>
      <c r="F38" s="97">
        <f>E38-((('Basis-Annahmen'!$E$40*'Basis-Annahmen'!$E$34*Ausbauziel_Wärme!H$22*5)*('Basis-Annahmen'!$E$30-'Basis-Annahmen'!H$29))/1000)+((IF('Basis-Annahmen'!H$34-'Basis-Annahmen'!G$34&lt;0,0,('Basis-Annahmen'!H$34-'Basis-Annahmen'!G$34)*('Basis-Annahmen'!$E$40*'Basis-Annahmen'!H28/1000))))</f>
        <v>28624.930000000004</v>
      </c>
      <c r="G38" s="98">
        <f>F38-((('Basis-Annahmen'!$E$40*'Basis-Annahmen'!$E$34*Ausbauziel_Wärme!I$22*5)*('Basis-Annahmen'!$E$30-'Basis-Annahmen'!I$29))/1000)+((IF('Basis-Annahmen'!I$34-'Basis-Annahmen'!H$34&lt;0,0,('Basis-Annahmen'!I$34-'Basis-Annahmen'!H$34)*('Basis-Annahmen'!$E$40*'Basis-Annahmen'!I28/1000))))</f>
        <v>27780.330000000005</v>
      </c>
      <c r="H38" s="14"/>
    </row>
    <row r="39" spans="1:8" ht="19.5" customHeight="1" x14ac:dyDescent="0.2">
      <c r="A39" s="14"/>
      <c r="B39" s="113" t="s">
        <v>104</v>
      </c>
      <c r="C39" s="96">
        <v>42453.66</v>
      </c>
      <c r="D39" s="97">
        <f>C39*((1-'Basis-Annahmen'!F$24)^(D36-C36))*((1+'Basis-Annahmen'!F$9)^(D36-C36))</f>
        <v>51373.951834153268</v>
      </c>
      <c r="E39" s="97">
        <f>((1-'Basis-Annahmen'!G$24)^5)*((1+'Basis-Annahmen'!G$9)^5)*'Nachfrage &amp; Erzeugung'!D39</f>
        <v>58871.583139442293</v>
      </c>
      <c r="F39" s="97">
        <f>((1-'Basis-Annahmen'!H$24)^5)*((1+'Basis-Annahmen'!H$9)^5)*'Nachfrage &amp; Erzeugung'!E39</f>
        <v>67463.43579977761</v>
      </c>
      <c r="G39" s="98">
        <f>((1-'Basis-Annahmen'!I$24)^5)*((1+'Basis-Annahmen'!I$9)^5)*'Nachfrage &amp; Erzeugung'!F39</f>
        <v>77309.202966914323</v>
      </c>
      <c r="H39" s="14"/>
    </row>
    <row r="40" spans="1:8" ht="19.5" customHeight="1" x14ac:dyDescent="0.2">
      <c r="A40" s="14"/>
      <c r="B40" s="113" t="s">
        <v>7</v>
      </c>
      <c r="C40" s="96">
        <v>1701.96</v>
      </c>
      <c r="D40" s="97">
        <f>C40+(C40*'Basis-Annahmen'!F36)*((1-'Basis-Annahmen'!F24)^(D36-C36))</f>
        <v>1750.0308466522358</v>
      </c>
      <c r="E40" s="97">
        <f>D40+(D40*'Basis-Annahmen'!G36)*((1-'Basis-Annahmen'!G24)^5)</f>
        <v>1798.9797267164813</v>
      </c>
      <c r="F40" s="97">
        <f>E40+(E40*'Basis-Annahmen'!H36)*((1-'Basis-Annahmen'!H24)^5)</f>
        <v>1823.4198955747556</v>
      </c>
      <c r="G40" s="98">
        <f>F40+(F40*'Basis-Annahmen'!I36)*((1-'Basis-Annahmen'!I24)^5)</f>
        <v>1847.8431938491399</v>
      </c>
      <c r="H40" s="14"/>
    </row>
    <row r="41" spans="1:8" ht="19.5" customHeight="1" x14ac:dyDescent="0.2">
      <c r="A41" s="14"/>
      <c r="B41" s="189"/>
      <c r="C41" s="100"/>
      <c r="D41" s="100"/>
      <c r="E41" s="100"/>
      <c r="F41" s="100"/>
      <c r="G41" s="116"/>
      <c r="H41" s="14"/>
    </row>
    <row r="42" spans="1:8" ht="19.5" customHeight="1" x14ac:dyDescent="0.2">
      <c r="A42" s="14"/>
      <c r="B42" s="124" t="s">
        <v>186</v>
      </c>
      <c r="C42" s="103"/>
      <c r="D42" s="104">
        <f>(D37-$C$37)/$C$37</f>
        <v>0.10834881963831632</v>
      </c>
      <c r="E42" s="104">
        <f>(E37-$C$37)/$C$37</f>
        <v>0.20061926085083223</v>
      </c>
      <c r="F42" s="104">
        <f>(F37-$C$37)/$C$37</f>
        <v>0.30413417639458129</v>
      </c>
      <c r="G42" s="105">
        <f>(G37-$C$37)/$C$37</f>
        <v>0.4243503577714306</v>
      </c>
      <c r="H42" s="14"/>
    </row>
    <row r="43" spans="1:8" x14ac:dyDescent="0.2">
      <c r="A43" s="14"/>
      <c r="B43" s="14"/>
      <c r="C43" s="14"/>
      <c r="D43" s="14"/>
      <c r="E43" s="14"/>
      <c r="F43" s="14"/>
      <c r="G43" s="14"/>
      <c r="H43" s="14"/>
    </row>
    <row r="44" spans="1:8" ht="19.5" customHeight="1" x14ac:dyDescent="0.2">
      <c r="A44" s="14"/>
      <c r="B44" s="273" t="s">
        <v>75</v>
      </c>
      <c r="C44" s="274"/>
      <c r="D44" s="274"/>
      <c r="E44" s="274"/>
      <c r="F44" s="274"/>
      <c r="G44" s="275"/>
      <c r="H44" s="14"/>
    </row>
    <row r="45" spans="1:8" ht="19.5" customHeight="1" x14ac:dyDescent="0.2">
      <c r="A45" s="14"/>
      <c r="B45" s="114"/>
      <c r="C45" s="91">
        <v>2018</v>
      </c>
      <c r="D45" s="91"/>
      <c r="E45" s="91"/>
      <c r="F45" s="91"/>
      <c r="G45" s="92"/>
      <c r="H45" s="14"/>
    </row>
    <row r="46" spans="1:8" ht="19.5" customHeight="1" x14ac:dyDescent="0.2">
      <c r="A46" s="14"/>
      <c r="B46" s="118" t="s">
        <v>56</v>
      </c>
      <c r="C46" s="119">
        <v>4116</v>
      </c>
      <c r="D46" s="117"/>
      <c r="E46" s="100"/>
      <c r="F46" s="100"/>
      <c r="G46" s="82"/>
      <c r="H46" s="14"/>
    </row>
    <row r="47" spans="1:8" ht="19.5" customHeight="1" x14ac:dyDescent="0.2">
      <c r="A47" s="72"/>
      <c r="B47" s="124" t="s">
        <v>76</v>
      </c>
      <c r="C47" s="125">
        <f>IF(C37-C46&lt;0,0,C37-C46)</f>
        <v>70962</v>
      </c>
      <c r="D47" s="125"/>
      <c r="E47" s="103"/>
      <c r="F47" s="103"/>
      <c r="G47" s="83"/>
      <c r="H47" s="14"/>
    </row>
    <row r="48" spans="1:8" x14ac:dyDescent="0.2">
      <c r="A48" s="14"/>
      <c r="B48" s="14"/>
      <c r="C48" s="14"/>
      <c r="D48" s="14"/>
      <c r="E48" s="14"/>
      <c r="F48" s="14"/>
      <c r="G48" s="14"/>
      <c r="H48" s="14"/>
    </row>
    <row r="49" spans="1:8" x14ac:dyDescent="0.2">
      <c r="A49" s="14"/>
      <c r="B49" s="14"/>
      <c r="C49" s="85"/>
      <c r="D49" s="14"/>
      <c r="E49" s="14"/>
      <c r="F49" s="14"/>
      <c r="G49" s="14"/>
      <c r="H49" s="14"/>
    </row>
    <row r="50" spans="1:8" ht="15.75" x14ac:dyDescent="0.2">
      <c r="A50" s="14"/>
      <c r="B50" s="273" t="s">
        <v>138</v>
      </c>
      <c r="C50" s="274"/>
      <c r="D50" s="274"/>
      <c r="E50" s="274"/>
      <c r="F50" s="274"/>
      <c r="G50" s="275"/>
      <c r="H50" s="14"/>
    </row>
    <row r="51" spans="1:8" ht="52.5" customHeight="1" x14ac:dyDescent="0.2">
      <c r="A51" s="14"/>
      <c r="B51" s="164" t="s">
        <v>137</v>
      </c>
      <c r="C51" s="165" t="s">
        <v>143</v>
      </c>
      <c r="D51" s="165" t="s">
        <v>144</v>
      </c>
      <c r="E51" s="165" t="s">
        <v>145</v>
      </c>
      <c r="F51" s="165" t="s">
        <v>139</v>
      </c>
      <c r="G51" s="92"/>
      <c r="H51" s="14"/>
    </row>
    <row r="52" spans="1:8" ht="19.5" customHeight="1" x14ac:dyDescent="0.2">
      <c r="A52" s="14"/>
      <c r="B52" s="166" t="s">
        <v>194</v>
      </c>
      <c r="C52" s="167">
        <v>0.12356912307749539</v>
      </c>
      <c r="D52" s="167">
        <v>0</v>
      </c>
      <c r="E52" s="167">
        <v>0</v>
      </c>
      <c r="F52" s="168">
        <f>1-D52</f>
        <v>1</v>
      </c>
      <c r="G52" s="95"/>
      <c r="H52" s="14"/>
    </row>
    <row r="53" spans="1:8" ht="19.5" customHeight="1" x14ac:dyDescent="0.2">
      <c r="A53" s="14"/>
      <c r="B53" s="166" t="s">
        <v>195</v>
      </c>
      <c r="C53" s="167">
        <v>0.51588561471737648</v>
      </c>
      <c r="D53" s="167">
        <v>0</v>
      </c>
      <c r="E53" s="167">
        <v>0</v>
      </c>
      <c r="F53" s="168">
        <f t="shared" ref="F53:F68" si="2">1-D53</f>
        <v>1</v>
      </c>
      <c r="G53" s="95"/>
      <c r="H53" s="14"/>
    </row>
    <row r="54" spans="1:8" ht="19.5" customHeight="1" x14ac:dyDescent="0.2">
      <c r="A54" s="14"/>
      <c r="B54" s="166" t="s">
        <v>196</v>
      </c>
      <c r="C54" s="167">
        <v>6.7922763164086158E-2</v>
      </c>
      <c r="D54" s="167">
        <v>0</v>
      </c>
      <c r="E54" s="167">
        <v>0</v>
      </c>
      <c r="F54" s="168">
        <f t="shared" si="2"/>
        <v>1</v>
      </c>
      <c r="G54" s="95"/>
      <c r="H54" s="14"/>
    </row>
    <row r="55" spans="1:8" ht="19.5" customHeight="1" x14ac:dyDescent="0.2">
      <c r="A55" s="14"/>
      <c r="B55" s="166" t="s">
        <v>197</v>
      </c>
      <c r="C55" s="167">
        <v>0.29262249904104193</v>
      </c>
      <c r="D55" s="167">
        <v>0</v>
      </c>
      <c r="E55" s="167">
        <v>0</v>
      </c>
      <c r="F55" s="168">
        <f t="shared" si="2"/>
        <v>1</v>
      </c>
      <c r="G55" s="95"/>
      <c r="H55" s="14"/>
    </row>
    <row r="56" spans="1:8" ht="19.5" customHeight="1" x14ac:dyDescent="0.2">
      <c r="A56" s="14"/>
      <c r="B56" s="166"/>
      <c r="C56" s="167">
        <v>0</v>
      </c>
      <c r="D56" s="167">
        <v>0</v>
      </c>
      <c r="E56" s="167">
        <v>0</v>
      </c>
      <c r="F56" s="168">
        <f t="shared" si="2"/>
        <v>1</v>
      </c>
      <c r="G56" s="95"/>
      <c r="H56" s="14"/>
    </row>
    <row r="57" spans="1:8" ht="19.5" customHeight="1" x14ac:dyDescent="0.2">
      <c r="A57" s="14"/>
      <c r="B57" s="166"/>
      <c r="C57" s="167">
        <v>0</v>
      </c>
      <c r="D57" s="167">
        <v>0</v>
      </c>
      <c r="E57" s="167">
        <v>0</v>
      </c>
      <c r="F57" s="168">
        <f t="shared" si="2"/>
        <v>1</v>
      </c>
      <c r="G57" s="95"/>
      <c r="H57" s="14"/>
    </row>
    <row r="58" spans="1:8" ht="19.5" customHeight="1" x14ac:dyDescent="0.2">
      <c r="A58" s="14"/>
      <c r="B58" s="166"/>
      <c r="C58" s="167">
        <v>0</v>
      </c>
      <c r="D58" s="167">
        <v>0</v>
      </c>
      <c r="E58" s="167">
        <v>0</v>
      </c>
      <c r="F58" s="168">
        <f t="shared" si="2"/>
        <v>1</v>
      </c>
      <c r="G58" s="95"/>
      <c r="H58" s="14"/>
    </row>
    <row r="59" spans="1:8" ht="19.5" customHeight="1" x14ac:dyDescent="0.2">
      <c r="A59" s="14"/>
      <c r="B59" s="166"/>
      <c r="C59" s="167">
        <v>0</v>
      </c>
      <c r="D59" s="167">
        <v>0</v>
      </c>
      <c r="E59" s="167">
        <v>0</v>
      </c>
      <c r="F59" s="168">
        <f t="shared" si="2"/>
        <v>1</v>
      </c>
      <c r="G59" s="95"/>
      <c r="H59" s="14"/>
    </row>
    <row r="60" spans="1:8" ht="19.5" customHeight="1" x14ac:dyDescent="0.2">
      <c r="A60" s="14"/>
      <c r="B60" s="166"/>
      <c r="C60" s="167">
        <v>0</v>
      </c>
      <c r="D60" s="167">
        <v>0</v>
      </c>
      <c r="E60" s="167">
        <v>0</v>
      </c>
      <c r="F60" s="168">
        <f t="shared" si="2"/>
        <v>1</v>
      </c>
      <c r="G60" s="95"/>
      <c r="H60" s="14"/>
    </row>
    <row r="61" spans="1:8" ht="19.5" customHeight="1" x14ac:dyDescent="0.2">
      <c r="A61" s="14"/>
      <c r="B61" s="166"/>
      <c r="C61" s="167">
        <v>0</v>
      </c>
      <c r="D61" s="167">
        <v>0</v>
      </c>
      <c r="E61" s="167">
        <v>0</v>
      </c>
      <c r="F61" s="168">
        <f t="shared" si="2"/>
        <v>1</v>
      </c>
      <c r="G61" s="95"/>
      <c r="H61" s="14"/>
    </row>
    <row r="62" spans="1:8" ht="19.5" customHeight="1" x14ac:dyDescent="0.2">
      <c r="A62" s="14"/>
      <c r="B62" s="166"/>
      <c r="C62" s="167">
        <v>0</v>
      </c>
      <c r="D62" s="167">
        <v>0</v>
      </c>
      <c r="E62" s="167">
        <v>0</v>
      </c>
      <c r="F62" s="168">
        <f t="shared" ref="F62" si="3">1-D62</f>
        <v>1</v>
      </c>
      <c r="G62" s="95"/>
      <c r="H62" s="14"/>
    </row>
    <row r="63" spans="1:8" ht="19.5" customHeight="1" x14ac:dyDescent="0.2">
      <c r="A63" s="14"/>
      <c r="B63" s="166"/>
      <c r="C63" s="167">
        <v>0</v>
      </c>
      <c r="D63" s="167">
        <v>0</v>
      </c>
      <c r="E63" s="167">
        <v>0</v>
      </c>
      <c r="F63" s="168">
        <f t="shared" ref="F63" si="4">1-D63</f>
        <v>1</v>
      </c>
      <c r="G63" s="95"/>
      <c r="H63" s="14"/>
    </row>
    <row r="64" spans="1:8" ht="19.5" customHeight="1" x14ac:dyDescent="0.2">
      <c r="A64" s="14"/>
      <c r="B64" s="166"/>
      <c r="C64" s="167">
        <v>0</v>
      </c>
      <c r="D64" s="167">
        <v>0</v>
      </c>
      <c r="E64" s="167">
        <v>0</v>
      </c>
      <c r="F64" s="168">
        <f t="shared" ref="F64" si="5">1-D64</f>
        <v>1</v>
      </c>
      <c r="G64" s="95"/>
      <c r="H64" s="14"/>
    </row>
    <row r="65" spans="1:8" ht="19.5" customHeight="1" x14ac:dyDescent="0.2">
      <c r="A65" s="14"/>
      <c r="B65" s="166"/>
      <c r="C65" s="167">
        <v>0</v>
      </c>
      <c r="D65" s="167">
        <v>0</v>
      </c>
      <c r="E65" s="167">
        <v>0</v>
      </c>
      <c r="F65" s="168">
        <f t="shared" ref="F65" si="6">1-D65</f>
        <v>1</v>
      </c>
      <c r="G65" s="95"/>
      <c r="H65" s="14"/>
    </row>
    <row r="66" spans="1:8" ht="19.5" customHeight="1" x14ac:dyDescent="0.2">
      <c r="A66" s="14"/>
      <c r="B66" s="166"/>
      <c r="C66" s="167">
        <v>0</v>
      </c>
      <c r="D66" s="167">
        <v>0</v>
      </c>
      <c r="E66" s="167">
        <v>0</v>
      </c>
      <c r="F66" s="168">
        <f t="shared" ref="F66" si="7">1-D66</f>
        <v>1</v>
      </c>
      <c r="G66" s="95"/>
      <c r="H66" s="14"/>
    </row>
    <row r="67" spans="1:8" ht="19.5" customHeight="1" x14ac:dyDescent="0.2">
      <c r="A67" s="14"/>
      <c r="B67" s="166"/>
      <c r="C67" s="167">
        <v>0</v>
      </c>
      <c r="D67" s="167">
        <v>0</v>
      </c>
      <c r="E67" s="167">
        <v>0</v>
      </c>
      <c r="F67" s="168">
        <f t="shared" ref="F67" si="8">1-D67</f>
        <v>1</v>
      </c>
      <c r="G67" s="95"/>
      <c r="H67" s="14"/>
    </row>
    <row r="68" spans="1:8" ht="19.5" customHeight="1" x14ac:dyDescent="0.2">
      <c r="A68" s="14"/>
      <c r="B68" s="166"/>
      <c r="C68" s="167">
        <v>0</v>
      </c>
      <c r="D68" s="167">
        <v>0</v>
      </c>
      <c r="E68" s="167">
        <v>0</v>
      </c>
      <c r="F68" s="168">
        <f t="shared" si="2"/>
        <v>1</v>
      </c>
      <c r="G68" s="95"/>
      <c r="H68" s="14"/>
    </row>
    <row r="69" spans="1:8" ht="33" customHeight="1" x14ac:dyDescent="0.2">
      <c r="A69" s="14"/>
      <c r="B69" s="169" t="s">
        <v>140</v>
      </c>
      <c r="C69" s="170">
        <f>SUM(C52:C68)</f>
        <v>1</v>
      </c>
      <c r="D69" s="170">
        <f>$C52*D52+$C53*D53+$C54*D54+$C55*D55+$C56*D56+$C57*D57+$C58*D58+$C59*D59+$C60*D60+$C61*D61+$C68*D68</f>
        <v>0</v>
      </c>
      <c r="E69" s="170">
        <f>IF(C52*D52+C53*D53+C54*D54+C55*D55+C56*D56+C57*D57+C58*D58+C59*D59+C60*D60+C61*D61+C68*D68&gt;0,(C52*D52*E52+C53*D53*E53+C54*D54*E54+C55*D55*E55+C56*D56*E56+C57*D57*E57+C58*D58*E58+C59*D59*E59+C60*D60*E60+C61*D61*E61+C68*D68*E68)/(C52*D52+C53*D53+C54*D54+C55*D55+C56*D56+C57*D57+C58*D58+C59*D59+C60*D60+C61*D61+C68*D68),0)</f>
        <v>0</v>
      </c>
      <c r="F69" s="170">
        <f>$C52*F52+$C53*F53+$C54*F54+$C55*F55+$C56*F56+$C57*F57+$C58*F58+$C59*F59+$C60*F60+$C61*F61+$C62*F62+$C63*F63+$C64*F64+$C65*F65+$C66*F66+$C67*F67+$C68*F68</f>
        <v>1</v>
      </c>
      <c r="G69" s="163"/>
      <c r="H69" s="14"/>
    </row>
    <row r="70" spans="1:8" x14ac:dyDescent="0.2">
      <c r="B70" s="14"/>
      <c r="C70" s="14"/>
      <c r="D70" s="14"/>
      <c r="E70" s="14"/>
      <c r="F70" s="14"/>
      <c r="G70" s="14"/>
      <c r="H70" s="14"/>
    </row>
    <row r="71" spans="1:8" x14ac:dyDescent="0.2">
      <c r="B71" s="14"/>
      <c r="C71" s="14"/>
      <c r="D71" s="14"/>
      <c r="E71" s="14"/>
      <c r="F71" s="14"/>
      <c r="G71" s="14"/>
      <c r="H71" s="14"/>
    </row>
    <row r="72" spans="1:8" x14ac:dyDescent="0.2">
      <c r="B72" s="14"/>
      <c r="C72" s="14"/>
      <c r="D72" s="14"/>
      <c r="E72" s="14"/>
      <c r="F72" s="14"/>
      <c r="G72" s="14"/>
      <c r="H72" s="14"/>
    </row>
    <row r="73" spans="1:8" x14ac:dyDescent="0.2">
      <c r="B73" s="14"/>
      <c r="C73" s="14"/>
      <c r="D73" s="14"/>
      <c r="E73" s="14"/>
      <c r="F73" s="14"/>
      <c r="G73" s="14"/>
      <c r="H73" s="14"/>
    </row>
    <row r="74" spans="1:8" x14ac:dyDescent="0.2">
      <c r="B74" s="14"/>
      <c r="C74" s="14"/>
      <c r="D74" s="14"/>
      <c r="E74" s="14"/>
      <c r="F74" s="14"/>
      <c r="G74" s="14"/>
      <c r="H74" s="14"/>
    </row>
    <row r="75" spans="1:8" x14ac:dyDescent="0.2">
      <c r="B75" s="14"/>
      <c r="C75" s="14"/>
      <c r="D75" s="14"/>
      <c r="E75" s="14"/>
      <c r="F75" s="14"/>
      <c r="G75" s="14"/>
      <c r="H75" s="14"/>
    </row>
    <row r="76" spans="1:8" x14ac:dyDescent="0.2">
      <c r="B76" s="14"/>
      <c r="C76" s="14"/>
      <c r="D76" s="14"/>
      <c r="E76" s="14"/>
      <c r="F76" s="14"/>
      <c r="G76" s="14"/>
      <c r="H76" s="14"/>
    </row>
    <row r="77" spans="1:8" x14ac:dyDescent="0.2">
      <c r="B77" s="14"/>
      <c r="C77" s="14"/>
      <c r="D77" s="14"/>
      <c r="E77" s="14"/>
      <c r="F77" s="14"/>
      <c r="G77" s="14"/>
      <c r="H77" s="14"/>
    </row>
    <row r="78" spans="1:8" x14ac:dyDescent="0.2">
      <c r="B78" s="14"/>
      <c r="C78" s="14"/>
      <c r="D78" s="14"/>
      <c r="E78" s="14"/>
      <c r="F78" s="14"/>
      <c r="G78" s="14"/>
      <c r="H78" s="14"/>
    </row>
    <row r="79" spans="1:8" x14ac:dyDescent="0.2">
      <c r="B79" s="14"/>
      <c r="C79" s="14"/>
      <c r="D79" s="14"/>
      <c r="E79" s="14"/>
      <c r="F79" s="14"/>
      <c r="G79" s="14"/>
      <c r="H79" s="14"/>
    </row>
    <row r="80" spans="1:8" x14ac:dyDescent="0.2">
      <c r="B80" s="14"/>
      <c r="C80" s="14"/>
      <c r="D80" s="14"/>
      <c r="E80" s="14"/>
      <c r="F80" s="14"/>
      <c r="G80" s="14"/>
      <c r="H80" s="14"/>
    </row>
    <row r="81" spans="2:8" x14ac:dyDescent="0.2">
      <c r="B81" s="14"/>
      <c r="C81" s="14"/>
      <c r="D81" s="14"/>
      <c r="E81" s="14"/>
      <c r="F81" s="14"/>
      <c r="G81" s="14"/>
      <c r="H81" s="14"/>
    </row>
    <row r="82" spans="2:8" x14ac:dyDescent="0.2">
      <c r="B82" s="14"/>
      <c r="C82" s="14"/>
      <c r="D82" s="14"/>
      <c r="E82" s="14"/>
      <c r="F82" s="14"/>
      <c r="G82" s="14"/>
      <c r="H82" s="14"/>
    </row>
    <row r="83" spans="2:8" x14ac:dyDescent="0.2">
      <c r="B83" s="14"/>
      <c r="C83" s="14"/>
      <c r="D83" s="14"/>
      <c r="E83" s="14"/>
      <c r="F83" s="14"/>
      <c r="G83" s="14"/>
      <c r="H83" s="14"/>
    </row>
    <row r="84" spans="2:8" x14ac:dyDescent="0.2">
      <c r="B84" s="14"/>
      <c r="C84" s="14"/>
      <c r="D84" s="14"/>
      <c r="E84" s="14"/>
      <c r="F84" s="14"/>
      <c r="G84" s="14"/>
      <c r="H84" s="14"/>
    </row>
    <row r="85" spans="2:8" x14ac:dyDescent="0.2">
      <c r="B85" s="14"/>
      <c r="C85" s="14"/>
      <c r="D85" s="14"/>
      <c r="E85" s="14"/>
      <c r="F85" s="14"/>
      <c r="G85" s="14"/>
      <c r="H85" s="14"/>
    </row>
    <row r="86" spans="2:8" x14ac:dyDescent="0.2">
      <c r="B86" s="14"/>
      <c r="C86" s="14"/>
      <c r="D86" s="14"/>
      <c r="E86" s="14"/>
      <c r="F86" s="14"/>
      <c r="G86" s="14"/>
      <c r="H86" s="14"/>
    </row>
    <row r="87" spans="2:8" x14ac:dyDescent="0.2">
      <c r="B87" s="14"/>
      <c r="C87" s="14"/>
      <c r="D87" s="14"/>
      <c r="E87" s="14"/>
      <c r="F87" s="14"/>
      <c r="G87" s="14"/>
      <c r="H87" s="14"/>
    </row>
    <row r="88" spans="2:8" x14ac:dyDescent="0.2">
      <c r="B88" s="14"/>
      <c r="C88" s="14"/>
      <c r="D88" s="14"/>
      <c r="E88" s="14"/>
      <c r="F88" s="14"/>
      <c r="G88" s="14"/>
      <c r="H88" s="14"/>
    </row>
    <row r="89" spans="2:8" x14ac:dyDescent="0.2">
      <c r="B89" s="14"/>
      <c r="C89" s="14"/>
      <c r="D89" s="14"/>
      <c r="E89" s="14"/>
      <c r="F89" s="14"/>
      <c r="G89" s="14"/>
      <c r="H89" s="14"/>
    </row>
    <row r="90" spans="2:8" x14ac:dyDescent="0.2">
      <c r="B90" s="14"/>
      <c r="C90" s="14"/>
      <c r="D90" s="14"/>
      <c r="E90" s="14"/>
      <c r="F90" s="14"/>
      <c r="G90" s="14"/>
      <c r="H90" s="14"/>
    </row>
    <row r="91" spans="2:8" x14ac:dyDescent="0.2">
      <c r="B91" s="14"/>
      <c r="C91" s="14"/>
      <c r="D91" s="14"/>
      <c r="E91" s="14"/>
      <c r="F91" s="14"/>
      <c r="G91" s="14"/>
      <c r="H91" s="14"/>
    </row>
    <row r="92" spans="2:8" x14ac:dyDescent="0.2">
      <c r="B92" s="14"/>
      <c r="C92" s="14"/>
      <c r="D92" s="14"/>
      <c r="E92" s="14"/>
      <c r="F92" s="14"/>
      <c r="G92" s="14"/>
      <c r="H92" s="14"/>
    </row>
    <row r="93" spans="2:8" x14ac:dyDescent="0.2">
      <c r="B93" s="14"/>
      <c r="C93" s="14"/>
      <c r="D93" s="14"/>
      <c r="E93" s="14"/>
      <c r="F93" s="14"/>
      <c r="G93" s="14"/>
      <c r="H93" s="14"/>
    </row>
    <row r="94" spans="2:8" x14ac:dyDescent="0.2">
      <c r="B94" s="14"/>
      <c r="C94" s="14"/>
      <c r="D94" s="14"/>
      <c r="E94" s="14"/>
      <c r="F94" s="14"/>
      <c r="G94" s="14"/>
      <c r="H94" s="14"/>
    </row>
    <row r="95" spans="2:8" x14ac:dyDescent="0.2">
      <c r="B95" s="14"/>
      <c r="C95" s="14"/>
      <c r="D95" s="14"/>
      <c r="E95" s="14"/>
      <c r="F95" s="14"/>
      <c r="G95" s="14"/>
      <c r="H95" s="14"/>
    </row>
    <row r="96" spans="2:8" x14ac:dyDescent="0.2">
      <c r="B96" s="14"/>
      <c r="C96" s="14"/>
      <c r="D96" s="14"/>
      <c r="E96" s="14"/>
      <c r="F96" s="14"/>
      <c r="G96" s="14"/>
      <c r="H96" s="14"/>
    </row>
    <row r="97" spans="2:8" x14ac:dyDescent="0.2">
      <c r="B97" s="14"/>
      <c r="C97" s="14"/>
      <c r="D97" s="14"/>
      <c r="E97" s="14"/>
      <c r="F97" s="14"/>
      <c r="G97" s="14"/>
      <c r="H97" s="14"/>
    </row>
    <row r="98" spans="2:8" x14ac:dyDescent="0.2">
      <c r="B98" s="14"/>
      <c r="C98" s="14"/>
      <c r="D98" s="14"/>
      <c r="E98" s="14"/>
      <c r="F98" s="14"/>
      <c r="G98" s="14"/>
      <c r="H98" s="14"/>
    </row>
    <row r="99" spans="2:8" x14ac:dyDescent="0.2">
      <c r="B99" s="14"/>
      <c r="C99" s="14"/>
      <c r="D99" s="14"/>
      <c r="E99" s="14"/>
      <c r="F99" s="14"/>
      <c r="G99" s="14"/>
      <c r="H99" s="14"/>
    </row>
    <row r="100" spans="2:8" x14ac:dyDescent="0.2">
      <c r="B100" s="14"/>
      <c r="C100" s="14"/>
      <c r="D100" s="14"/>
      <c r="E100" s="14"/>
      <c r="F100" s="14"/>
      <c r="G100" s="14"/>
      <c r="H100" s="14"/>
    </row>
    <row r="101" spans="2:8" x14ac:dyDescent="0.2">
      <c r="B101" s="14"/>
      <c r="C101" s="14"/>
      <c r="D101" s="14"/>
      <c r="E101" s="14"/>
      <c r="F101" s="14"/>
      <c r="G101" s="14"/>
      <c r="H101" s="14"/>
    </row>
    <row r="102" spans="2:8" x14ac:dyDescent="0.2">
      <c r="B102" s="14"/>
      <c r="C102" s="14"/>
      <c r="D102" s="14"/>
      <c r="E102" s="14"/>
      <c r="F102" s="14"/>
      <c r="G102" s="14"/>
      <c r="H102" s="14"/>
    </row>
    <row r="103" spans="2:8" x14ac:dyDescent="0.2">
      <c r="B103" s="14"/>
      <c r="C103" s="14"/>
      <c r="D103" s="14"/>
      <c r="E103" s="14"/>
      <c r="F103" s="14"/>
      <c r="G103" s="14"/>
      <c r="H103" s="14"/>
    </row>
    <row r="104" spans="2:8" x14ac:dyDescent="0.2">
      <c r="B104" s="14"/>
      <c r="C104" s="14"/>
      <c r="D104" s="14"/>
      <c r="E104" s="14"/>
      <c r="F104" s="14"/>
      <c r="G104" s="14"/>
      <c r="H104" s="14"/>
    </row>
    <row r="105" spans="2:8" x14ac:dyDescent="0.2">
      <c r="B105" s="14"/>
      <c r="C105" s="14"/>
      <c r="D105" s="14"/>
      <c r="E105" s="14"/>
      <c r="F105" s="14"/>
      <c r="G105" s="14"/>
      <c r="H105" s="14"/>
    </row>
    <row r="106" spans="2:8" x14ac:dyDescent="0.2">
      <c r="B106" s="14"/>
      <c r="C106" s="14"/>
      <c r="D106" s="14"/>
      <c r="E106" s="14"/>
      <c r="F106" s="14"/>
      <c r="G106" s="14"/>
      <c r="H106" s="14"/>
    </row>
    <row r="107" spans="2:8" x14ac:dyDescent="0.2">
      <c r="B107" s="14"/>
      <c r="C107" s="14"/>
      <c r="D107" s="14"/>
      <c r="E107" s="14"/>
      <c r="F107" s="14"/>
      <c r="G107" s="14"/>
      <c r="H107" s="14"/>
    </row>
    <row r="108" spans="2:8" x14ac:dyDescent="0.2">
      <c r="B108" s="14"/>
      <c r="C108" s="14"/>
      <c r="D108" s="14"/>
      <c r="E108" s="14"/>
      <c r="F108" s="14"/>
      <c r="G108" s="14"/>
      <c r="H108" s="14"/>
    </row>
    <row r="109" spans="2:8" x14ac:dyDescent="0.2">
      <c r="B109" s="14"/>
      <c r="C109" s="14"/>
      <c r="D109" s="14"/>
      <c r="E109" s="14"/>
      <c r="F109" s="14"/>
      <c r="G109" s="14"/>
      <c r="H109" s="14"/>
    </row>
    <row r="110" spans="2:8" x14ac:dyDescent="0.2">
      <c r="B110" s="14"/>
      <c r="C110" s="14"/>
      <c r="D110" s="14"/>
      <c r="E110" s="14"/>
      <c r="F110" s="14"/>
      <c r="G110" s="14"/>
      <c r="H110" s="14"/>
    </row>
    <row r="111" spans="2:8" x14ac:dyDescent="0.2">
      <c r="B111" s="14"/>
      <c r="C111" s="14"/>
      <c r="D111" s="14"/>
      <c r="E111" s="14"/>
      <c r="F111" s="14"/>
      <c r="G111" s="14"/>
      <c r="H111" s="14"/>
    </row>
    <row r="112" spans="2:8" x14ac:dyDescent="0.2">
      <c r="B112" s="14"/>
      <c r="C112" s="14"/>
      <c r="D112" s="14"/>
      <c r="E112" s="14"/>
      <c r="F112" s="14"/>
      <c r="G112" s="14"/>
      <c r="H112" s="14"/>
    </row>
    <row r="113" spans="2:8" x14ac:dyDescent="0.2">
      <c r="B113" s="14"/>
      <c r="C113" s="14"/>
      <c r="D113" s="14"/>
      <c r="E113" s="14"/>
      <c r="F113" s="14"/>
      <c r="G113" s="14"/>
      <c r="H113" s="14"/>
    </row>
    <row r="114" spans="2:8" x14ac:dyDescent="0.2">
      <c r="B114" s="14"/>
      <c r="C114" s="14"/>
      <c r="D114" s="14"/>
      <c r="E114" s="14"/>
      <c r="F114" s="14"/>
      <c r="G114" s="14"/>
      <c r="H114" s="14"/>
    </row>
    <row r="115" spans="2:8" x14ac:dyDescent="0.2">
      <c r="B115" s="14"/>
      <c r="C115" s="14"/>
      <c r="D115" s="14"/>
      <c r="E115" s="14"/>
      <c r="F115" s="14"/>
      <c r="G115" s="14"/>
      <c r="H115" s="14"/>
    </row>
    <row r="116" spans="2:8" x14ac:dyDescent="0.2">
      <c r="B116" s="14"/>
      <c r="C116" s="14"/>
      <c r="D116" s="14"/>
      <c r="E116" s="14"/>
      <c r="F116" s="14"/>
      <c r="G116" s="14"/>
      <c r="H116" s="14"/>
    </row>
    <row r="117" spans="2:8" x14ac:dyDescent="0.2">
      <c r="B117" s="14"/>
      <c r="C117" s="14"/>
      <c r="D117" s="14"/>
      <c r="E117" s="14"/>
      <c r="F117" s="14"/>
      <c r="G117" s="14"/>
      <c r="H117" s="14"/>
    </row>
    <row r="118" spans="2:8" x14ac:dyDescent="0.2">
      <c r="B118" s="14"/>
      <c r="C118" s="14"/>
      <c r="D118" s="14"/>
      <c r="E118" s="14"/>
      <c r="F118" s="14"/>
      <c r="G118" s="14"/>
      <c r="H118" s="14"/>
    </row>
    <row r="119" spans="2:8" x14ac:dyDescent="0.2">
      <c r="B119" s="14"/>
      <c r="C119" s="14"/>
      <c r="D119" s="14"/>
      <c r="E119" s="14"/>
      <c r="F119" s="14"/>
      <c r="G119" s="14"/>
      <c r="H119" s="14"/>
    </row>
    <row r="120" spans="2:8" x14ac:dyDescent="0.2">
      <c r="B120" s="14"/>
      <c r="C120" s="14"/>
      <c r="D120" s="14"/>
      <c r="E120" s="14"/>
      <c r="F120" s="14"/>
      <c r="G120" s="14"/>
      <c r="H120" s="14"/>
    </row>
    <row r="121" spans="2:8" x14ac:dyDescent="0.2">
      <c r="B121" s="14"/>
      <c r="C121" s="14"/>
      <c r="D121" s="14"/>
      <c r="E121" s="14"/>
      <c r="F121" s="14"/>
      <c r="G121" s="14"/>
      <c r="H121" s="14"/>
    </row>
    <row r="122" spans="2:8" x14ac:dyDescent="0.2">
      <c r="B122" s="14"/>
      <c r="C122" s="14"/>
      <c r="D122" s="14"/>
      <c r="E122" s="14"/>
      <c r="F122" s="14"/>
      <c r="G122" s="14"/>
      <c r="H122" s="14"/>
    </row>
    <row r="123" spans="2:8" x14ac:dyDescent="0.2">
      <c r="B123" s="14"/>
      <c r="C123" s="14"/>
      <c r="D123" s="14"/>
      <c r="E123" s="14"/>
      <c r="F123" s="14"/>
      <c r="G123" s="14"/>
      <c r="H123" s="14"/>
    </row>
    <row r="124" spans="2:8" x14ac:dyDescent="0.2">
      <c r="B124" s="14"/>
      <c r="C124" s="14"/>
      <c r="D124" s="14"/>
      <c r="E124" s="14"/>
      <c r="F124" s="14"/>
      <c r="G124" s="14"/>
      <c r="H124" s="14"/>
    </row>
    <row r="125" spans="2:8" x14ac:dyDescent="0.2">
      <c r="B125" s="14"/>
      <c r="C125" s="14"/>
      <c r="D125" s="14"/>
      <c r="E125" s="14"/>
      <c r="F125" s="14"/>
      <c r="G125" s="14"/>
      <c r="H125" s="14"/>
    </row>
    <row r="126" spans="2:8" x14ac:dyDescent="0.2">
      <c r="B126" s="14"/>
      <c r="C126" s="14"/>
      <c r="D126" s="14"/>
      <c r="E126" s="14"/>
      <c r="F126" s="14"/>
      <c r="G126" s="14"/>
      <c r="H126" s="14"/>
    </row>
    <row r="127" spans="2:8" x14ac:dyDescent="0.2">
      <c r="B127" s="14"/>
      <c r="C127" s="14"/>
      <c r="D127" s="14"/>
      <c r="E127" s="14"/>
      <c r="F127" s="14"/>
      <c r="G127" s="14"/>
      <c r="H127" s="14"/>
    </row>
    <row r="128" spans="2:8" x14ac:dyDescent="0.2">
      <c r="B128" s="14"/>
      <c r="C128" s="14"/>
      <c r="D128" s="14"/>
      <c r="E128" s="14"/>
      <c r="F128" s="14"/>
      <c r="G128" s="14"/>
      <c r="H128" s="14"/>
    </row>
    <row r="129" spans="2:8" x14ac:dyDescent="0.2">
      <c r="B129" s="14"/>
      <c r="C129" s="14"/>
      <c r="D129" s="14"/>
      <c r="E129" s="14"/>
      <c r="F129" s="14"/>
      <c r="G129" s="14"/>
      <c r="H129" s="14"/>
    </row>
    <row r="130" spans="2:8" x14ac:dyDescent="0.2">
      <c r="B130" s="14"/>
      <c r="C130" s="14"/>
      <c r="D130" s="14"/>
      <c r="E130" s="14"/>
      <c r="F130" s="14"/>
      <c r="G130" s="14"/>
      <c r="H130" s="14"/>
    </row>
    <row r="131" spans="2:8" x14ac:dyDescent="0.2">
      <c r="B131" s="14"/>
      <c r="C131" s="14"/>
      <c r="D131" s="14"/>
      <c r="E131" s="14"/>
      <c r="F131" s="14"/>
      <c r="G131" s="14"/>
      <c r="H131" s="14"/>
    </row>
    <row r="132" spans="2:8" x14ac:dyDescent="0.2">
      <c r="B132" s="14"/>
      <c r="C132" s="14"/>
      <c r="D132" s="14"/>
      <c r="E132" s="14"/>
      <c r="F132" s="14"/>
      <c r="G132" s="14"/>
      <c r="H132" s="14"/>
    </row>
    <row r="133" spans="2:8" x14ac:dyDescent="0.2">
      <c r="B133" s="14"/>
      <c r="C133" s="14"/>
      <c r="D133" s="14"/>
      <c r="E133" s="14"/>
      <c r="F133" s="14"/>
      <c r="G133" s="14"/>
      <c r="H133" s="14"/>
    </row>
    <row r="134" spans="2:8" x14ac:dyDescent="0.2">
      <c r="B134" s="14"/>
      <c r="C134" s="14"/>
      <c r="D134" s="14"/>
      <c r="E134" s="14"/>
      <c r="F134" s="14"/>
      <c r="G134" s="14"/>
      <c r="H134" s="14"/>
    </row>
    <row r="135" spans="2:8" x14ac:dyDescent="0.2">
      <c r="B135" s="14"/>
      <c r="C135" s="14"/>
      <c r="D135" s="14"/>
      <c r="E135" s="14"/>
      <c r="F135" s="14"/>
      <c r="G135" s="14"/>
      <c r="H135" s="14"/>
    </row>
    <row r="136" spans="2:8" x14ac:dyDescent="0.2">
      <c r="B136" s="14"/>
      <c r="C136" s="14"/>
      <c r="D136" s="14"/>
      <c r="E136" s="14"/>
      <c r="F136" s="14"/>
      <c r="G136" s="14"/>
      <c r="H136" s="14"/>
    </row>
    <row r="137" spans="2:8" x14ac:dyDescent="0.2">
      <c r="B137" s="14"/>
      <c r="C137" s="14"/>
      <c r="D137" s="14"/>
      <c r="E137" s="14"/>
      <c r="F137" s="14"/>
      <c r="G137" s="14"/>
      <c r="H137" s="14"/>
    </row>
    <row r="138" spans="2:8" x14ac:dyDescent="0.2">
      <c r="B138" s="14"/>
      <c r="C138" s="14"/>
      <c r="D138" s="14"/>
      <c r="E138" s="14"/>
      <c r="F138" s="14"/>
      <c r="G138" s="14"/>
      <c r="H138" s="14"/>
    </row>
    <row r="139" spans="2:8" x14ac:dyDescent="0.2">
      <c r="B139" s="14"/>
      <c r="C139" s="14"/>
      <c r="D139" s="14"/>
      <c r="E139" s="14"/>
      <c r="F139" s="14"/>
      <c r="G139" s="14"/>
      <c r="H139" s="14"/>
    </row>
    <row r="140" spans="2:8" x14ac:dyDescent="0.2">
      <c r="B140" s="14"/>
      <c r="C140" s="14"/>
      <c r="D140" s="14"/>
      <c r="E140" s="14"/>
      <c r="F140" s="14"/>
      <c r="G140" s="14"/>
      <c r="H140" s="14"/>
    </row>
    <row r="141" spans="2:8" x14ac:dyDescent="0.2">
      <c r="B141" s="14"/>
      <c r="C141" s="14"/>
      <c r="D141" s="14"/>
      <c r="E141" s="14"/>
      <c r="F141" s="14"/>
      <c r="G141" s="14"/>
      <c r="H141" s="14"/>
    </row>
    <row r="142" spans="2:8" x14ac:dyDescent="0.2">
      <c r="B142" s="14"/>
      <c r="C142" s="14"/>
      <c r="D142" s="14"/>
      <c r="E142" s="14"/>
      <c r="F142" s="14"/>
      <c r="G142" s="14"/>
      <c r="H142" s="14"/>
    </row>
    <row r="143" spans="2:8" x14ac:dyDescent="0.2">
      <c r="B143" s="14"/>
      <c r="C143" s="14"/>
      <c r="D143" s="14"/>
      <c r="E143" s="14"/>
      <c r="F143" s="14"/>
      <c r="G143" s="14"/>
      <c r="H143" s="14"/>
    </row>
    <row r="144" spans="2:8" x14ac:dyDescent="0.2">
      <c r="B144" s="14"/>
      <c r="C144" s="14"/>
      <c r="D144" s="14"/>
      <c r="E144" s="14"/>
      <c r="F144" s="14"/>
      <c r="G144" s="14"/>
      <c r="H144" s="14"/>
    </row>
    <row r="145" spans="2:8" x14ac:dyDescent="0.2">
      <c r="B145" s="14"/>
      <c r="C145" s="14"/>
      <c r="D145" s="14"/>
      <c r="E145" s="14"/>
      <c r="F145" s="14"/>
      <c r="G145" s="14"/>
      <c r="H145" s="14"/>
    </row>
    <row r="146" spans="2:8" x14ac:dyDescent="0.2">
      <c r="B146" s="14"/>
      <c r="C146" s="14"/>
      <c r="D146" s="14"/>
      <c r="E146" s="14"/>
      <c r="F146" s="14"/>
      <c r="G146" s="14"/>
      <c r="H146" s="14"/>
    </row>
    <row r="147" spans="2:8" x14ac:dyDescent="0.2">
      <c r="B147" s="14"/>
      <c r="C147" s="14"/>
      <c r="D147" s="14"/>
      <c r="E147" s="14"/>
      <c r="F147" s="14"/>
      <c r="G147" s="14"/>
      <c r="H147" s="14"/>
    </row>
    <row r="148" spans="2:8" x14ac:dyDescent="0.2">
      <c r="B148" s="14"/>
      <c r="C148" s="14"/>
      <c r="D148" s="14"/>
      <c r="E148" s="14"/>
      <c r="F148" s="14"/>
      <c r="G148" s="14"/>
      <c r="H148" s="14"/>
    </row>
    <row r="149" spans="2:8" x14ac:dyDescent="0.2">
      <c r="B149" s="14"/>
      <c r="C149" s="14"/>
      <c r="D149" s="14"/>
      <c r="E149" s="14"/>
      <c r="F149" s="14"/>
      <c r="G149" s="14"/>
      <c r="H149" s="14"/>
    </row>
    <row r="150" spans="2:8" x14ac:dyDescent="0.2">
      <c r="B150" s="14"/>
      <c r="C150" s="14"/>
      <c r="D150" s="14"/>
      <c r="E150" s="14"/>
      <c r="F150" s="14"/>
      <c r="G150" s="14"/>
      <c r="H150" s="14"/>
    </row>
    <row r="151" spans="2:8" x14ac:dyDescent="0.2">
      <c r="B151" s="14"/>
      <c r="C151" s="14"/>
      <c r="D151" s="14"/>
      <c r="E151" s="14"/>
      <c r="F151" s="14"/>
      <c r="G151" s="14"/>
      <c r="H151" s="14"/>
    </row>
    <row r="152" spans="2:8" x14ac:dyDescent="0.2">
      <c r="B152" s="14"/>
      <c r="C152" s="14"/>
      <c r="D152" s="14"/>
      <c r="E152" s="14"/>
      <c r="F152" s="14"/>
      <c r="G152" s="14"/>
      <c r="H152" s="14"/>
    </row>
    <row r="153" spans="2:8" x14ac:dyDescent="0.2">
      <c r="B153" s="14"/>
      <c r="C153" s="14"/>
      <c r="D153" s="14"/>
      <c r="E153" s="14"/>
      <c r="F153" s="14"/>
      <c r="G153" s="14"/>
      <c r="H153" s="14"/>
    </row>
    <row r="154" spans="2:8" x14ac:dyDescent="0.2">
      <c r="B154" s="14"/>
      <c r="C154" s="14"/>
      <c r="D154" s="14"/>
      <c r="E154" s="14"/>
      <c r="F154" s="14"/>
      <c r="G154" s="14"/>
      <c r="H154" s="14"/>
    </row>
    <row r="155" spans="2:8" x14ac:dyDescent="0.2">
      <c r="B155" s="14"/>
      <c r="C155" s="14"/>
      <c r="D155" s="14"/>
      <c r="E155" s="14"/>
      <c r="F155" s="14"/>
      <c r="G155" s="14"/>
      <c r="H155" s="14"/>
    </row>
    <row r="156" spans="2:8" x14ac:dyDescent="0.2">
      <c r="B156" s="14"/>
      <c r="C156" s="14"/>
      <c r="D156" s="14"/>
      <c r="E156" s="14"/>
      <c r="F156" s="14"/>
      <c r="G156" s="14"/>
      <c r="H156" s="14"/>
    </row>
    <row r="157" spans="2:8" x14ac:dyDescent="0.2">
      <c r="B157" s="14"/>
      <c r="C157" s="14"/>
      <c r="D157" s="14"/>
      <c r="E157" s="14"/>
      <c r="F157" s="14"/>
      <c r="G157" s="14"/>
      <c r="H157" s="14"/>
    </row>
    <row r="158" spans="2:8" x14ac:dyDescent="0.2">
      <c r="B158" s="14"/>
      <c r="C158" s="14"/>
      <c r="D158" s="14"/>
      <c r="E158" s="14"/>
      <c r="F158" s="14"/>
      <c r="G158" s="14"/>
      <c r="H158" s="14"/>
    </row>
    <row r="159" spans="2:8" x14ac:dyDescent="0.2">
      <c r="B159" s="14"/>
      <c r="C159" s="14"/>
      <c r="D159" s="14"/>
      <c r="E159" s="14"/>
      <c r="F159" s="14"/>
      <c r="G159" s="14"/>
      <c r="H159" s="14"/>
    </row>
    <row r="160" spans="2:8" x14ac:dyDescent="0.2">
      <c r="B160" s="14"/>
      <c r="C160" s="14"/>
      <c r="D160" s="14"/>
      <c r="E160" s="14"/>
      <c r="F160" s="14"/>
      <c r="G160" s="14"/>
      <c r="H160" s="14"/>
    </row>
    <row r="161" spans="2:8" x14ac:dyDescent="0.2">
      <c r="B161" s="14"/>
      <c r="C161" s="14"/>
      <c r="D161" s="14"/>
      <c r="E161" s="14"/>
      <c r="F161" s="14"/>
      <c r="G161" s="14"/>
      <c r="H161" s="14"/>
    </row>
    <row r="162" spans="2:8" x14ac:dyDescent="0.2">
      <c r="B162" s="14"/>
      <c r="C162" s="14"/>
      <c r="D162" s="14"/>
      <c r="E162" s="14"/>
      <c r="F162" s="14"/>
      <c r="G162" s="14"/>
      <c r="H162" s="14"/>
    </row>
    <row r="163" spans="2:8" x14ac:dyDescent="0.2">
      <c r="B163" s="14"/>
      <c r="C163" s="14"/>
      <c r="D163" s="14"/>
      <c r="E163" s="14"/>
      <c r="F163" s="14"/>
      <c r="G163" s="14"/>
      <c r="H163" s="14"/>
    </row>
    <row r="164" spans="2:8" x14ac:dyDescent="0.2">
      <c r="B164" s="14"/>
      <c r="C164" s="14"/>
      <c r="D164" s="14"/>
      <c r="E164" s="14"/>
      <c r="F164" s="14"/>
      <c r="G164" s="14"/>
      <c r="H164" s="14"/>
    </row>
    <row r="165" spans="2:8" x14ac:dyDescent="0.2">
      <c r="B165" s="14"/>
      <c r="C165" s="14"/>
      <c r="D165" s="14"/>
      <c r="E165" s="14"/>
      <c r="F165" s="14"/>
      <c r="G165" s="14"/>
      <c r="H165" s="14"/>
    </row>
    <row r="166" spans="2:8" x14ac:dyDescent="0.2">
      <c r="B166" s="14"/>
      <c r="C166" s="14"/>
      <c r="D166" s="14"/>
      <c r="E166" s="14"/>
      <c r="F166" s="14"/>
      <c r="G166" s="14"/>
      <c r="H166" s="14"/>
    </row>
    <row r="167" spans="2:8" x14ac:dyDescent="0.2">
      <c r="B167" s="14"/>
      <c r="C167" s="14"/>
      <c r="D167" s="14"/>
      <c r="E167" s="14"/>
      <c r="F167" s="14"/>
      <c r="G167" s="14"/>
      <c r="H167" s="14"/>
    </row>
    <row r="168" spans="2:8" x14ac:dyDescent="0.2">
      <c r="B168" s="14"/>
      <c r="C168" s="14"/>
      <c r="D168" s="14"/>
      <c r="E168" s="14"/>
      <c r="F168" s="14"/>
      <c r="G168" s="14"/>
      <c r="H168" s="14"/>
    </row>
    <row r="169" spans="2:8" x14ac:dyDescent="0.2">
      <c r="B169" s="14"/>
      <c r="C169" s="14"/>
      <c r="D169" s="14"/>
      <c r="E169" s="14"/>
      <c r="F169" s="14"/>
      <c r="G169" s="14"/>
      <c r="H169" s="14"/>
    </row>
    <row r="170" spans="2:8" x14ac:dyDescent="0.2">
      <c r="B170" s="14"/>
      <c r="C170" s="14"/>
      <c r="D170" s="14"/>
      <c r="E170" s="14"/>
      <c r="F170" s="14"/>
      <c r="G170" s="14"/>
      <c r="H170" s="14"/>
    </row>
    <row r="171" spans="2:8" x14ac:dyDescent="0.2">
      <c r="B171" s="14"/>
      <c r="C171" s="14"/>
      <c r="D171" s="14"/>
      <c r="E171" s="14"/>
      <c r="F171" s="14"/>
      <c r="G171" s="14"/>
      <c r="H171" s="14"/>
    </row>
    <row r="172" spans="2:8" x14ac:dyDescent="0.2">
      <c r="B172" s="14"/>
      <c r="C172" s="14"/>
      <c r="D172" s="14"/>
      <c r="E172" s="14"/>
      <c r="F172" s="14"/>
      <c r="G172" s="14"/>
      <c r="H172" s="14"/>
    </row>
    <row r="173" spans="2:8" x14ac:dyDescent="0.2">
      <c r="B173" s="14"/>
      <c r="C173" s="14"/>
      <c r="D173" s="14"/>
      <c r="E173" s="14"/>
      <c r="F173" s="14"/>
      <c r="G173" s="14"/>
      <c r="H173" s="14"/>
    </row>
    <row r="174" spans="2:8" x14ac:dyDescent="0.2">
      <c r="B174" s="14"/>
      <c r="C174" s="14"/>
      <c r="D174" s="14"/>
      <c r="E174" s="14"/>
      <c r="F174" s="14"/>
      <c r="G174" s="14"/>
      <c r="H174" s="14"/>
    </row>
    <row r="175" spans="2:8" x14ac:dyDescent="0.2">
      <c r="B175" s="14"/>
      <c r="C175" s="14"/>
      <c r="D175" s="14"/>
      <c r="E175" s="14"/>
      <c r="F175" s="14"/>
      <c r="G175" s="14"/>
      <c r="H175" s="14"/>
    </row>
    <row r="176" spans="2:8" x14ac:dyDescent="0.2">
      <c r="B176" s="14"/>
      <c r="C176" s="14"/>
      <c r="D176" s="14"/>
      <c r="E176" s="14"/>
      <c r="F176" s="14"/>
      <c r="G176" s="14"/>
      <c r="H176" s="14"/>
    </row>
    <row r="177" spans="2:8" x14ac:dyDescent="0.2">
      <c r="B177" s="14"/>
      <c r="C177" s="14"/>
      <c r="D177" s="14"/>
      <c r="E177" s="14"/>
      <c r="F177" s="14"/>
      <c r="G177" s="14"/>
      <c r="H177" s="14"/>
    </row>
    <row r="178" spans="2:8" x14ac:dyDescent="0.2">
      <c r="B178" s="14"/>
      <c r="C178" s="14"/>
      <c r="D178" s="14"/>
      <c r="E178" s="14"/>
      <c r="F178" s="14"/>
      <c r="G178" s="14"/>
      <c r="H178" s="14"/>
    </row>
    <row r="179" spans="2:8" x14ac:dyDescent="0.2">
      <c r="B179" s="14"/>
      <c r="C179" s="14"/>
      <c r="D179" s="14"/>
      <c r="E179" s="14"/>
      <c r="F179" s="14"/>
      <c r="G179" s="14"/>
      <c r="H179" s="14"/>
    </row>
    <row r="180" spans="2:8" x14ac:dyDescent="0.2">
      <c r="B180" s="14"/>
      <c r="C180" s="14"/>
      <c r="D180" s="14"/>
      <c r="E180" s="14"/>
      <c r="F180" s="14"/>
      <c r="G180" s="14"/>
      <c r="H180" s="14"/>
    </row>
    <row r="181" spans="2:8" x14ac:dyDescent="0.2">
      <c r="B181" s="14"/>
      <c r="C181" s="14"/>
      <c r="D181" s="14"/>
      <c r="E181" s="14"/>
      <c r="F181" s="14"/>
      <c r="G181" s="14"/>
      <c r="H181" s="14"/>
    </row>
    <row r="182" spans="2:8" x14ac:dyDescent="0.2">
      <c r="B182" s="14"/>
      <c r="C182" s="14"/>
      <c r="D182" s="14"/>
      <c r="E182" s="14"/>
      <c r="F182" s="14"/>
      <c r="G182" s="14"/>
      <c r="H182" s="14"/>
    </row>
    <row r="183" spans="2:8" x14ac:dyDescent="0.2">
      <c r="B183" s="14"/>
      <c r="C183" s="14"/>
      <c r="D183" s="14"/>
      <c r="E183" s="14"/>
      <c r="F183" s="14"/>
      <c r="G183" s="14"/>
      <c r="H183" s="14"/>
    </row>
    <row r="184" spans="2:8" x14ac:dyDescent="0.2">
      <c r="B184" s="14"/>
      <c r="C184" s="14"/>
      <c r="D184" s="14"/>
      <c r="E184" s="14"/>
      <c r="F184" s="14"/>
      <c r="G184" s="14"/>
      <c r="H184" s="14"/>
    </row>
    <row r="185" spans="2:8" x14ac:dyDescent="0.2">
      <c r="B185" s="14"/>
      <c r="C185" s="14"/>
      <c r="D185" s="14"/>
      <c r="E185" s="14"/>
      <c r="F185" s="14"/>
      <c r="G185" s="14"/>
      <c r="H185" s="14"/>
    </row>
    <row r="186" spans="2:8" x14ac:dyDescent="0.2">
      <c r="B186" s="14"/>
      <c r="C186" s="14"/>
      <c r="D186" s="14"/>
      <c r="E186" s="14"/>
      <c r="F186" s="14"/>
      <c r="G186" s="14"/>
      <c r="H186" s="14"/>
    </row>
    <row r="187" spans="2:8" x14ac:dyDescent="0.2">
      <c r="B187" s="14"/>
      <c r="C187" s="14"/>
      <c r="D187" s="14"/>
      <c r="E187" s="14"/>
      <c r="F187" s="14"/>
      <c r="G187" s="14"/>
      <c r="H187" s="14"/>
    </row>
    <row r="188" spans="2:8" x14ac:dyDescent="0.2">
      <c r="B188" s="14"/>
      <c r="C188" s="14"/>
      <c r="D188" s="14"/>
      <c r="E188" s="14"/>
      <c r="F188" s="14"/>
      <c r="G188" s="14"/>
      <c r="H188" s="14"/>
    </row>
    <row r="189" spans="2:8" x14ac:dyDescent="0.2">
      <c r="B189" s="14"/>
      <c r="C189" s="14"/>
      <c r="D189" s="14"/>
      <c r="E189" s="14"/>
      <c r="F189" s="14"/>
      <c r="G189" s="14"/>
      <c r="H189" s="14"/>
    </row>
    <row r="190" spans="2:8" x14ac:dyDescent="0.2">
      <c r="B190" s="14"/>
      <c r="C190" s="14"/>
      <c r="D190" s="14"/>
      <c r="E190" s="14"/>
      <c r="F190" s="14"/>
      <c r="G190" s="14"/>
      <c r="H190" s="14"/>
    </row>
    <row r="191" spans="2:8" x14ac:dyDescent="0.2">
      <c r="B191" s="14"/>
      <c r="C191" s="14"/>
      <c r="D191" s="14"/>
      <c r="E191" s="14"/>
      <c r="F191" s="14"/>
      <c r="G191" s="14"/>
      <c r="H191" s="14"/>
    </row>
    <row r="192" spans="2:8" x14ac:dyDescent="0.2">
      <c r="B192" s="14"/>
      <c r="C192" s="14"/>
      <c r="D192" s="14"/>
      <c r="E192" s="14"/>
      <c r="F192" s="14"/>
      <c r="G192" s="14"/>
      <c r="H192" s="14"/>
    </row>
    <row r="193" spans="2:8" x14ac:dyDescent="0.2">
      <c r="B193" s="14"/>
      <c r="C193" s="14"/>
      <c r="D193" s="14"/>
      <c r="E193" s="14"/>
      <c r="F193" s="14"/>
      <c r="G193" s="14"/>
      <c r="H193" s="14"/>
    </row>
    <row r="194" spans="2:8" x14ac:dyDescent="0.2">
      <c r="B194" s="14"/>
      <c r="C194" s="14"/>
      <c r="D194" s="14"/>
      <c r="E194" s="14"/>
      <c r="F194" s="14"/>
      <c r="G194" s="14"/>
      <c r="H194" s="14"/>
    </row>
    <row r="195" spans="2:8" x14ac:dyDescent="0.2">
      <c r="B195" s="14"/>
      <c r="C195" s="14"/>
      <c r="D195" s="14"/>
      <c r="E195" s="14"/>
      <c r="F195" s="14"/>
      <c r="G195" s="14"/>
      <c r="H195" s="14"/>
    </row>
    <row r="196" spans="2:8" x14ac:dyDescent="0.2">
      <c r="B196" s="14"/>
      <c r="C196" s="14"/>
      <c r="D196" s="14"/>
      <c r="E196" s="14"/>
      <c r="F196" s="14"/>
      <c r="G196" s="14"/>
      <c r="H196" s="14"/>
    </row>
    <row r="197" spans="2:8" x14ac:dyDescent="0.2">
      <c r="B197" s="14"/>
      <c r="C197" s="14"/>
      <c r="D197" s="14"/>
      <c r="E197" s="14"/>
      <c r="F197" s="14"/>
      <c r="G197" s="14"/>
      <c r="H197" s="14"/>
    </row>
    <row r="198" spans="2:8" x14ac:dyDescent="0.2">
      <c r="B198" s="14"/>
      <c r="C198" s="14"/>
      <c r="D198" s="14"/>
      <c r="E198" s="14"/>
      <c r="F198" s="14"/>
      <c r="G198" s="14"/>
      <c r="H198" s="14"/>
    </row>
    <row r="199" spans="2:8" x14ac:dyDescent="0.2">
      <c r="B199" s="14"/>
      <c r="C199" s="14"/>
      <c r="D199" s="14"/>
      <c r="E199" s="14"/>
      <c r="F199" s="14"/>
      <c r="G199" s="14"/>
      <c r="H199" s="14"/>
    </row>
    <row r="200" spans="2:8" x14ac:dyDescent="0.2">
      <c r="B200" s="14"/>
      <c r="C200" s="14"/>
      <c r="D200" s="14"/>
      <c r="E200" s="14"/>
      <c r="F200" s="14"/>
      <c r="G200" s="14"/>
      <c r="H200" s="14"/>
    </row>
    <row r="201" spans="2:8" x14ac:dyDescent="0.2">
      <c r="B201" s="14"/>
      <c r="C201" s="14"/>
      <c r="D201" s="14"/>
      <c r="E201" s="14"/>
      <c r="F201" s="14"/>
      <c r="G201" s="14"/>
      <c r="H201" s="14"/>
    </row>
    <row r="202" spans="2:8" x14ac:dyDescent="0.2">
      <c r="B202" s="14"/>
      <c r="C202" s="14"/>
      <c r="D202" s="14"/>
      <c r="E202" s="14"/>
      <c r="F202" s="14"/>
      <c r="G202" s="14"/>
      <c r="H202" s="14"/>
    </row>
    <row r="203" spans="2:8" x14ac:dyDescent="0.2">
      <c r="B203" s="14"/>
      <c r="C203" s="14"/>
      <c r="D203" s="14"/>
      <c r="E203" s="14"/>
      <c r="F203" s="14"/>
      <c r="G203" s="14"/>
      <c r="H203" s="14"/>
    </row>
    <row r="204" spans="2:8" x14ac:dyDescent="0.2">
      <c r="B204" s="14"/>
      <c r="C204" s="14"/>
      <c r="D204" s="14"/>
      <c r="E204" s="14"/>
      <c r="F204" s="14"/>
      <c r="G204" s="14"/>
      <c r="H204" s="14"/>
    </row>
    <row r="205" spans="2:8" x14ac:dyDescent="0.2">
      <c r="B205" s="14"/>
      <c r="C205" s="14"/>
      <c r="D205" s="14"/>
      <c r="E205" s="14"/>
      <c r="F205" s="14"/>
      <c r="G205" s="14"/>
      <c r="H205" s="14"/>
    </row>
    <row r="206" spans="2:8" x14ac:dyDescent="0.2">
      <c r="B206" s="14"/>
      <c r="C206" s="14"/>
      <c r="D206" s="14"/>
      <c r="E206" s="14"/>
      <c r="F206" s="14"/>
      <c r="G206" s="14"/>
      <c r="H206" s="14"/>
    </row>
    <row r="207" spans="2:8" x14ac:dyDescent="0.2">
      <c r="B207" s="14"/>
      <c r="C207" s="14"/>
      <c r="D207" s="14"/>
      <c r="E207" s="14"/>
      <c r="F207" s="14"/>
      <c r="G207" s="14"/>
      <c r="H207" s="14"/>
    </row>
    <row r="208" spans="2:8" x14ac:dyDescent="0.2">
      <c r="B208" s="14"/>
      <c r="C208" s="14"/>
      <c r="D208" s="14"/>
      <c r="E208" s="14"/>
      <c r="F208" s="14"/>
      <c r="G208" s="14"/>
      <c r="H208" s="14"/>
    </row>
    <row r="209" spans="2:8" x14ac:dyDescent="0.2">
      <c r="B209" s="14"/>
      <c r="C209" s="14"/>
      <c r="D209" s="14"/>
      <c r="E209" s="14"/>
      <c r="F209" s="14"/>
      <c r="G209" s="14"/>
      <c r="H209" s="14"/>
    </row>
    <row r="210" spans="2:8" x14ac:dyDescent="0.2">
      <c r="B210" s="14"/>
      <c r="C210" s="14"/>
      <c r="D210" s="14"/>
      <c r="E210" s="14"/>
      <c r="F210" s="14"/>
      <c r="G210" s="14"/>
      <c r="H210" s="14"/>
    </row>
    <row r="211" spans="2:8" x14ac:dyDescent="0.2">
      <c r="B211" s="14"/>
      <c r="C211" s="14"/>
      <c r="D211" s="14"/>
      <c r="E211" s="14"/>
      <c r="F211" s="14"/>
      <c r="G211" s="14"/>
      <c r="H211" s="14"/>
    </row>
    <row r="212" spans="2:8" x14ac:dyDescent="0.2">
      <c r="B212" s="14"/>
      <c r="C212" s="14"/>
      <c r="D212" s="14"/>
      <c r="E212" s="14"/>
      <c r="F212" s="14"/>
      <c r="G212" s="14"/>
      <c r="H212" s="14"/>
    </row>
    <row r="213" spans="2:8" x14ac:dyDescent="0.2">
      <c r="B213" s="14"/>
      <c r="C213" s="14"/>
      <c r="D213" s="14"/>
      <c r="E213" s="14"/>
      <c r="F213" s="14"/>
      <c r="G213" s="14"/>
      <c r="H213" s="14"/>
    </row>
    <row r="214" spans="2:8" x14ac:dyDescent="0.2">
      <c r="B214" s="14"/>
      <c r="C214" s="14"/>
      <c r="D214" s="14"/>
      <c r="E214" s="14"/>
      <c r="F214" s="14"/>
      <c r="G214" s="14"/>
      <c r="H214" s="14"/>
    </row>
    <row r="215" spans="2:8" x14ac:dyDescent="0.2">
      <c r="B215" s="14"/>
      <c r="C215" s="14"/>
      <c r="D215" s="14"/>
      <c r="E215" s="14"/>
      <c r="F215" s="14"/>
      <c r="G215" s="14"/>
      <c r="H215" s="14"/>
    </row>
    <row r="216" spans="2:8" x14ac:dyDescent="0.2">
      <c r="B216" s="14"/>
      <c r="C216" s="14"/>
      <c r="D216" s="14"/>
      <c r="E216" s="14"/>
      <c r="F216" s="14"/>
      <c r="G216" s="14"/>
      <c r="H216" s="14"/>
    </row>
    <row r="217" spans="2:8" x14ac:dyDescent="0.2">
      <c r="B217" s="14"/>
      <c r="C217" s="14"/>
      <c r="D217" s="14"/>
      <c r="E217" s="14"/>
      <c r="F217" s="14"/>
      <c r="G217" s="14"/>
      <c r="H217" s="14"/>
    </row>
    <row r="218" spans="2:8" x14ac:dyDescent="0.2">
      <c r="B218" s="14"/>
      <c r="C218" s="14"/>
      <c r="D218" s="14"/>
      <c r="E218" s="14"/>
      <c r="F218" s="14"/>
      <c r="G218" s="14"/>
      <c r="H218" s="14"/>
    </row>
    <row r="219" spans="2:8" x14ac:dyDescent="0.2">
      <c r="B219" s="14"/>
      <c r="C219" s="14"/>
      <c r="D219" s="14"/>
      <c r="E219" s="14"/>
      <c r="F219" s="14"/>
      <c r="G219" s="14"/>
      <c r="H219" s="14"/>
    </row>
    <row r="220" spans="2:8" x14ac:dyDescent="0.2">
      <c r="B220" s="14"/>
      <c r="C220" s="14"/>
      <c r="D220" s="14"/>
      <c r="E220" s="14"/>
      <c r="F220" s="14"/>
      <c r="G220" s="14"/>
      <c r="H220" s="14"/>
    </row>
    <row r="221" spans="2:8" x14ac:dyDescent="0.2">
      <c r="B221" s="14"/>
      <c r="C221" s="14"/>
      <c r="D221" s="14"/>
      <c r="E221" s="14"/>
      <c r="F221" s="14"/>
      <c r="G221" s="14"/>
      <c r="H221" s="14"/>
    </row>
    <row r="222" spans="2:8" x14ac:dyDescent="0.2">
      <c r="B222" s="14"/>
      <c r="C222" s="14"/>
      <c r="D222" s="14"/>
      <c r="E222" s="14"/>
      <c r="F222" s="14"/>
      <c r="G222" s="14"/>
      <c r="H222" s="14"/>
    </row>
    <row r="223" spans="2:8" x14ac:dyDescent="0.2">
      <c r="B223" s="14"/>
      <c r="C223" s="14"/>
      <c r="D223" s="14"/>
      <c r="E223" s="14"/>
      <c r="F223" s="14"/>
      <c r="G223" s="14"/>
      <c r="H223" s="14"/>
    </row>
    <row r="224" spans="2:8" x14ac:dyDescent="0.2">
      <c r="B224" s="14"/>
      <c r="C224" s="14"/>
      <c r="D224" s="14"/>
      <c r="E224" s="14"/>
      <c r="F224" s="14"/>
      <c r="G224" s="14"/>
      <c r="H224" s="14"/>
    </row>
    <row r="225" spans="2:8" x14ac:dyDescent="0.2">
      <c r="B225" s="14"/>
      <c r="C225" s="14"/>
      <c r="D225" s="14"/>
      <c r="E225" s="14"/>
      <c r="F225" s="14"/>
      <c r="G225" s="14"/>
      <c r="H225" s="14"/>
    </row>
    <row r="226" spans="2:8" x14ac:dyDescent="0.2">
      <c r="B226" s="14"/>
      <c r="C226" s="14"/>
      <c r="D226" s="14"/>
      <c r="E226" s="14"/>
      <c r="F226" s="14"/>
      <c r="G226" s="14"/>
      <c r="H226" s="14"/>
    </row>
    <row r="227" spans="2:8" x14ac:dyDescent="0.2">
      <c r="B227" s="14"/>
      <c r="C227" s="14"/>
      <c r="D227" s="14"/>
      <c r="E227" s="14"/>
      <c r="F227" s="14"/>
      <c r="G227" s="14"/>
      <c r="H227" s="14"/>
    </row>
    <row r="228" spans="2:8" x14ac:dyDescent="0.2">
      <c r="B228" s="14"/>
      <c r="C228" s="14"/>
      <c r="D228" s="14"/>
      <c r="E228" s="14"/>
      <c r="F228" s="14"/>
      <c r="G228" s="14"/>
      <c r="H228" s="14"/>
    </row>
    <row r="229" spans="2:8" x14ac:dyDescent="0.2">
      <c r="B229" s="14"/>
      <c r="C229" s="14"/>
      <c r="D229" s="14"/>
      <c r="E229" s="14"/>
      <c r="F229" s="14"/>
      <c r="G229" s="14"/>
      <c r="H229" s="14"/>
    </row>
    <row r="230" spans="2:8" x14ac:dyDescent="0.2">
      <c r="B230" s="14"/>
      <c r="C230" s="14"/>
      <c r="D230" s="14"/>
      <c r="E230" s="14"/>
      <c r="F230" s="14"/>
      <c r="G230" s="14"/>
      <c r="H230" s="14"/>
    </row>
    <row r="231" spans="2:8" x14ac:dyDescent="0.2">
      <c r="B231" s="14"/>
      <c r="C231" s="14"/>
      <c r="D231" s="14"/>
      <c r="E231" s="14"/>
      <c r="F231" s="14"/>
      <c r="G231" s="14"/>
      <c r="H231" s="14"/>
    </row>
    <row r="232" spans="2:8" x14ac:dyDescent="0.2">
      <c r="B232" s="14"/>
      <c r="C232" s="14"/>
      <c r="D232" s="14"/>
      <c r="E232" s="14"/>
      <c r="F232" s="14"/>
      <c r="G232" s="14"/>
      <c r="H232" s="14"/>
    </row>
    <row r="233" spans="2:8" x14ac:dyDescent="0.2">
      <c r="B233" s="14"/>
      <c r="C233" s="14"/>
      <c r="D233" s="14"/>
      <c r="E233" s="14"/>
      <c r="F233" s="14"/>
      <c r="G233" s="14"/>
      <c r="H233" s="14"/>
    </row>
    <row r="234" spans="2:8" x14ac:dyDescent="0.2">
      <c r="B234" s="14"/>
      <c r="C234" s="14"/>
      <c r="D234" s="14"/>
      <c r="E234" s="14"/>
      <c r="F234" s="14"/>
      <c r="G234" s="14"/>
      <c r="H234" s="14"/>
    </row>
    <row r="235" spans="2:8" x14ac:dyDescent="0.2">
      <c r="B235" s="14"/>
      <c r="C235" s="14"/>
      <c r="D235" s="14"/>
      <c r="E235" s="14"/>
      <c r="F235" s="14"/>
      <c r="G235" s="14"/>
      <c r="H235" s="14"/>
    </row>
    <row r="236" spans="2:8" x14ac:dyDescent="0.2">
      <c r="B236" s="14"/>
      <c r="C236" s="14"/>
      <c r="D236" s="14"/>
      <c r="E236" s="14"/>
      <c r="F236" s="14"/>
      <c r="G236" s="14"/>
      <c r="H236" s="14"/>
    </row>
    <row r="237" spans="2:8" x14ac:dyDescent="0.2">
      <c r="B237" s="14"/>
      <c r="C237" s="14"/>
      <c r="D237" s="14"/>
      <c r="E237" s="14"/>
      <c r="F237" s="14"/>
      <c r="G237" s="14"/>
      <c r="H237" s="14"/>
    </row>
    <row r="238" spans="2:8" x14ac:dyDescent="0.2">
      <c r="B238" s="14"/>
      <c r="C238" s="14"/>
      <c r="D238" s="14"/>
      <c r="E238" s="14"/>
      <c r="F238" s="14"/>
      <c r="G238" s="14"/>
      <c r="H238" s="14"/>
    </row>
    <row r="239" spans="2:8" x14ac:dyDescent="0.2">
      <c r="B239" s="14"/>
      <c r="C239" s="14"/>
      <c r="D239" s="14"/>
      <c r="E239" s="14"/>
      <c r="F239" s="14"/>
      <c r="G239" s="14"/>
      <c r="H239" s="14"/>
    </row>
    <row r="240" spans="2:8" x14ac:dyDescent="0.2">
      <c r="B240" s="14"/>
      <c r="C240" s="14"/>
      <c r="D240" s="14"/>
      <c r="E240" s="14"/>
      <c r="F240" s="14"/>
      <c r="G240" s="14"/>
      <c r="H240" s="14"/>
    </row>
    <row r="241" spans="2:8" x14ac:dyDescent="0.2">
      <c r="B241" s="14"/>
      <c r="C241" s="14"/>
      <c r="D241" s="14"/>
      <c r="E241" s="14"/>
      <c r="F241" s="14"/>
      <c r="G241" s="14"/>
      <c r="H241" s="14"/>
    </row>
    <row r="242" spans="2:8" x14ac:dyDescent="0.2">
      <c r="B242" s="14"/>
      <c r="C242" s="14"/>
      <c r="D242" s="14"/>
      <c r="E242" s="14"/>
      <c r="F242" s="14"/>
      <c r="G242" s="14"/>
      <c r="H242" s="14"/>
    </row>
    <row r="243" spans="2:8" x14ac:dyDescent="0.2">
      <c r="B243" s="14"/>
      <c r="C243" s="14"/>
      <c r="D243" s="14"/>
      <c r="E243" s="14"/>
      <c r="F243" s="14"/>
      <c r="G243" s="14"/>
      <c r="H243" s="14"/>
    </row>
    <row r="244" spans="2:8" x14ac:dyDescent="0.2">
      <c r="B244" s="14"/>
      <c r="C244" s="14"/>
      <c r="D244" s="14"/>
      <c r="E244" s="14"/>
      <c r="F244" s="14"/>
      <c r="G244" s="14"/>
      <c r="H244" s="14"/>
    </row>
    <row r="245" spans="2:8" x14ac:dyDescent="0.2">
      <c r="B245" s="14"/>
      <c r="C245" s="14"/>
      <c r="D245" s="14"/>
      <c r="E245" s="14"/>
      <c r="F245" s="14"/>
      <c r="G245" s="14"/>
      <c r="H245" s="14"/>
    </row>
    <row r="246" spans="2:8" x14ac:dyDescent="0.2">
      <c r="B246" s="14"/>
      <c r="C246" s="14"/>
      <c r="D246" s="14"/>
      <c r="E246" s="14"/>
      <c r="F246" s="14"/>
      <c r="G246" s="14"/>
      <c r="H246" s="14"/>
    </row>
    <row r="247" spans="2:8" x14ac:dyDescent="0.2">
      <c r="B247" s="14"/>
      <c r="C247" s="14"/>
      <c r="D247" s="14"/>
      <c r="E247" s="14"/>
      <c r="F247" s="14"/>
      <c r="G247" s="14"/>
      <c r="H247" s="14"/>
    </row>
    <row r="248" spans="2:8" x14ac:dyDescent="0.2">
      <c r="B248" s="14"/>
      <c r="C248" s="14"/>
      <c r="D248" s="14"/>
      <c r="E248" s="14"/>
      <c r="F248" s="14"/>
      <c r="G248" s="14"/>
      <c r="H248" s="14"/>
    </row>
    <row r="249" spans="2:8" x14ac:dyDescent="0.2">
      <c r="B249" s="14"/>
      <c r="C249" s="14"/>
      <c r="D249" s="14"/>
      <c r="E249" s="14"/>
      <c r="F249" s="14"/>
      <c r="G249" s="14"/>
      <c r="H249" s="14"/>
    </row>
    <row r="250" spans="2:8" x14ac:dyDescent="0.2">
      <c r="B250" s="14"/>
      <c r="C250" s="14"/>
      <c r="D250" s="14"/>
      <c r="E250" s="14"/>
      <c r="F250" s="14"/>
      <c r="G250" s="14"/>
      <c r="H250" s="14"/>
    </row>
    <row r="251" spans="2:8" x14ac:dyDescent="0.2">
      <c r="B251" s="14"/>
      <c r="C251" s="14"/>
      <c r="D251" s="14"/>
      <c r="E251" s="14"/>
      <c r="F251" s="14"/>
      <c r="G251" s="14"/>
      <c r="H251" s="14"/>
    </row>
    <row r="252" spans="2:8" x14ac:dyDescent="0.2">
      <c r="B252" s="14"/>
      <c r="C252" s="14"/>
      <c r="D252" s="14"/>
      <c r="E252" s="14"/>
      <c r="F252" s="14"/>
      <c r="G252" s="14"/>
      <c r="H252" s="14"/>
    </row>
    <row r="253" spans="2:8" x14ac:dyDescent="0.2">
      <c r="B253" s="14"/>
      <c r="C253" s="14"/>
      <c r="D253" s="14"/>
      <c r="E253" s="14"/>
      <c r="F253" s="14"/>
      <c r="G253" s="14"/>
      <c r="H253" s="14"/>
    </row>
    <row r="254" spans="2:8" x14ac:dyDescent="0.2">
      <c r="B254" s="14"/>
      <c r="C254" s="14"/>
      <c r="D254" s="14"/>
      <c r="E254" s="14"/>
      <c r="F254" s="14"/>
      <c r="G254" s="14"/>
      <c r="H254" s="14"/>
    </row>
    <row r="255" spans="2:8" x14ac:dyDescent="0.2">
      <c r="B255" s="14"/>
      <c r="C255" s="14"/>
      <c r="D255" s="14"/>
      <c r="E255" s="14"/>
      <c r="F255" s="14"/>
      <c r="G255" s="14"/>
      <c r="H255" s="14"/>
    </row>
    <row r="256" spans="2:8" x14ac:dyDescent="0.2">
      <c r="B256" s="14"/>
      <c r="C256" s="14"/>
      <c r="D256" s="14"/>
      <c r="E256" s="14"/>
      <c r="F256" s="14"/>
      <c r="G256" s="14"/>
      <c r="H256" s="14"/>
    </row>
    <row r="257" spans="2:8" x14ac:dyDescent="0.2">
      <c r="B257" s="14"/>
      <c r="C257" s="14"/>
      <c r="D257" s="14"/>
      <c r="E257" s="14"/>
      <c r="F257" s="14"/>
      <c r="G257" s="14"/>
      <c r="H257" s="14"/>
    </row>
    <row r="258" spans="2:8" x14ac:dyDescent="0.2">
      <c r="B258" s="14"/>
      <c r="C258" s="14"/>
      <c r="D258" s="14"/>
      <c r="E258" s="14"/>
      <c r="F258" s="14"/>
      <c r="G258" s="14"/>
      <c r="H258" s="14"/>
    </row>
    <row r="259" spans="2:8" x14ac:dyDescent="0.2">
      <c r="B259" s="14"/>
      <c r="C259" s="14"/>
      <c r="D259" s="14"/>
      <c r="E259" s="14"/>
      <c r="F259" s="14"/>
      <c r="G259" s="14"/>
      <c r="H259" s="14"/>
    </row>
    <row r="260" spans="2:8" x14ac:dyDescent="0.2">
      <c r="B260" s="14"/>
      <c r="C260" s="14"/>
      <c r="D260" s="14"/>
      <c r="E260" s="14"/>
      <c r="F260" s="14"/>
      <c r="G260" s="14"/>
      <c r="H260" s="14"/>
    </row>
    <row r="261" spans="2:8" x14ac:dyDescent="0.2">
      <c r="B261" s="14"/>
      <c r="C261" s="14"/>
      <c r="D261" s="14"/>
      <c r="E261" s="14"/>
      <c r="F261" s="14"/>
      <c r="G261" s="14"/>
      <c r="H261" s="14"/>
    </row>
    <row r="262" spans="2:8" x14ac:dyDescent="0.2">
      <c r="B262" s="14"/>
      <c r="C262" s="14"/>
      <c r="D262" s="14"/>
      <c r="E262" s="14"/>
      <c r="F262" s="14"/>
      <c r="G262" s="14"/>
      <c r="H262" s="14"/>
    </row>
    <row r="263" spans="2:8" x14ac:dyDescent="0.2">
      <c r="B263" s="14"/>
      <c r="C263" s="14"/>
      <c r="D263" s="14"/>
      <c r="E263" s="14"/>
      <c r="F263" s="14"/>
      <c r="G263" s="14"/>
      <c r="H263" s="14"/>
    </row>
    <row r="264" spans="2:8" x14ac:dyDescent="0.2">
      <c r="B264" s="14"/>
      <c r="C264" s="14"/>
      <c r="D264" s="14"/>
      <c r="E264" s="14"/>
      <c r="F264" s="14"/>
      <c r="G264" s="14"/>
      <c r="H264" s="14"/>
    </row>
    <row r="265" spans="2:8" x14ac:dyDescent="0.2">
      <c r="B265" s="14"/>
      <c r="C265" s="14"/>
      <c r="D265" s="14"/>
      <c r="E265" s="14"/>
      <c r="F265" s="14"/>
      <c r="G265" s="14"/>
      <c r="H265" s="14"/>
    </row>
    <row r="266" spans="2:8" x14ac:dyDescent="0.2">
      <c r="B266" s="14"/>
      <c r="C266" s="14"/>
      <c r="D266" s="14"/>
      <c r="E266" s="14"/>
      <c r="F266" s="14"/>
      <c r="G266" s="14"/>
      <c r="H266" s="14"/>
    </row>
    <row r="267" spans="2:8" x14ac:dyDescent="0.2">
      <c r="B267" s="14"/>
      <c r="C267" s="14"/>
      <c r="D267" s="14"/>
      <c r="E267" s="14"/>
      <c r="F267" s="14"/>
      <c r="G267" s="14"/>
      <c r="H267" s="14"/>
    </row>
    <row r="268" spans="2:8" x14ac:dyDescent="0.2">
      <c r="B268" s="14"/>
      <c r="C268" s="14"/>
      <c r="D268" s="14"/>
      <c r="E268" s="14"/>
      <c r="F268" s="14"/>
      <c r="G268" s="14"/>
      <c r="H268" s="14"/>
    </row>
    <row r="269" spans="2:8" x14ac:dyDescent="0.2">
      <c r="B269" s="14"/>
      <c r="C269" s="14"/>
      <c r="D269" s="14"/>
      <c r="E269" s="14"/>
      <c r="F269" s="14"/>
      <c r="G269" s="14"/>
      <c r="H269" s="14"/>
    </row>
    <row r="270" spans="2:8" x14ac:dyDescent="0.2">
      <c r="B270" s="14"/>
      <c r="C270" s="14"/>
      <c r="D270" s="14"/>
      <c r="E270" s="14"/>
      <c r="F270" s="14"/>
      <c r="G270" s="14"/>
      <c r="H270" s="14"/>
    </row>
    <row r="271" spans="2:8" x14ac:dyDescent="0.2">
      <c r="B271" s="14"/>
      <c r="C271" s="14"/>
      <c r="D271" s="14"/>
      <c r="E271" s="14"/>
      <c r="F271" s="14"/>
      <c r="G271" s="14"/>
      <c r="H271" s="14"/>
    </row>
  </sheetData>
  <mergeCells count="9">
    <mergeCell ref="B50:G50"/>
    <mergeCell ref="A2:H2"/>
    <mergeCell ref="B8:G8"/>
    <mergeCell ref="B19:G19"/>
    <mergeCell ref="B35:G35"/>
    <mergeCell ref="B44:G44"/>
    <mergeCell ref="B5:G5"/>
    <mergeCell ref="B32:G32"/>
    <mergeCell ref="D15:G15"/>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2:F35"/>
  <sheetViews>
    <sheetView zoomScale="104" zoomScaleNormal="104" workbookViewId="0">
      <selection activeCell="F17" sqref="F17"/>
    </sheetView>
  </sheetViews>
  <sheetFormatPr baseColWidth="10" defaultColWidth="11.42578125" defaultRowHeight="14.25" x14ac:dyDescent="0.25"/>
  <cols>
    <col min="1" max="2" width="11.42578125" style="3"/>
    <col min="3" max="3" width="41.7109375" style="3" customWidth="1"/>
    <col min="4" max="4" width="22" style="3" bestFit="1" customWidth="1"/>
    <col min="5" max="5" width="11.42578125" style="3"/>
    <col min="6" max="6" width="13.28515625" style="3" customWidth="1"/>
    <col min="7" max="7" width="16.140625" style="3" customWidth="1"/>
    <col min="8" max="11" width="11.42578125" style="3"/>
    <col min="12" max="12" width="23.140625" style="3" customWidth="1"/>
    <col min="13" max="16384" width="11.42578125" style="3"/>
  </cols>
  <sheetData>
    <row r="2" spans="1:6" ht="37.5" customHeight="1" x14ac:dyDescent="0.25">
      <c r="A2" s="278" t="s">
        <v>26</v>
      </c>
      <c r="B2" s="278"/>
      <c r="C2" s="278"/>
      <c r="D2" s="278"/>
      <c r="E2" s="278"/>
      <c r="F2" s="278"/>
    </row>
    <row r="5" spans="1:6" ht="34.5" customHeight="1" x14ac:dyDescent="0.25">
      <c r="A5" s="129"/>
      <c r="B5" s="283" t="s">
        <v>22</v>
      </c>
      <c r="C5" s="283"/>
      <c r="D5" s="283"/>
      <c r="E5" s="283"/>
      <c r="F5" s="129"/>
    </row>
    <row r="8" spans="1:6" ht="19.5" customHeight="1" x14ac:dyDescent="0.25">
      <c r="B8" s="273" t="s">
        <v>0</v>
      </c>
      <c r="C8" s="274"/>
      <c r="D8" s="274"/>
      <c r="E8" s="275"/>
    </row>
    <row r="9" spans="1:6" s="130" customFormat="1" ht="19.5" customHeight="1" x14ac:dyDescent="0.25">
      <c r="B9" s="303" t="s">
        <v>19</v>
      </c>
      <c r="C9" s="304"/>
      <c r="D9" s="93">
        <f>D11*D10</f>
        <v>63000</v>
      </c>
      <c r="E9" s="131" t="s">
        <v>13</v>
      </c>
    </row>
    <row r="10" spans="1:6" s="130" customFormat="1" ht="19.5" customHeight="1" x14ac:dyDescent="0.25">
      <c r="B10" s="295" t="s">
        <v>129</v>
      </c>
      <c r="C10" s="296"/>
      <c r="D10" s="96">
        <v>7</v>
      </c>
      <c r="E10" s="145" t="s">
        <v>130</v>
      </c>
    </row>
    <row r="11" spans="1:6" s="130" customFormat="1" ht="19.5" customHeight="1" x14ac:dyDescent="0.25">
      <c r="B11" s="305" t="s">
        <v>12</v>
      </c>
      <c r="C11" s="306"/>
      <c r="D11" s="142">
        <v>9000</v>
      </c>
      <c r="E11" s="141" t="s">
        <v>13</v>
      </c>
    </row>
    <row r="12" spans="1:6" s="130" customFormat="1" ht="12.75" x14ac:dyDescent="0.25">
      <c r="D12" s="132"/>
    </row>
    <row r="13" spans="1:6" ht="15.75" x14ac:dyDescent="0.25">
      <c r="B13" s="273" t="s">
        <v>114</v>
      </c>
      <c r="C13" s="274"/>
      <c r="D13" s="274"/>
      <c r="E13" s="275"/>
    </row>
    <row r="14" spans="1:6" s="130" customFormat="1" ht="19.5" customHeight="1" x14ac:dyDescent="0.25">
      <c r="B14" s="299" t="s">
        <v>19</v>
      </c>
      <c r="C14" s="300"/>
      <c r="D14" s="93">
        <f>D15*D18</f>
        <v>19610.399632500001</v>
      </c>
      <c r="E14" s="133" t="s">
        <v>13</v>
      </c>
    </row>
    <row r="15" spans="1:6" s="130" customFormat="1" ht="19.5" customHeight="1" x14ac:dyDescent="0.25">
      <c r="B15" s="297" t="s">
        <v>151</v>
      </c>
      <c r="C15" s="298"/>
      <c r="D15" s="173">
        <v>130735.99755</v>
      </c>
      <c r="E15" s="135" t="s">
        <v>30</v>
      </c>
    </row>
    <row r="16" spans="1:6" s="130" customFormat="1" ht="19.5" customHeight="1" x14ac:dyDescent="0.25">
      <c r="B16" s="297" t="s">
        <v>20</v>
      </c>
      <c r="C16" s="298"/>
      <c r="D16" s="134">
        <v>6</v>
      </c>
      <c r="E16" s="135" t="s">
        <v>122</v>
      </c>
      <c r="F16" s="136"/>
    </row>
    <row r="17" spans="2:6" s="130" customFormat="1" ht="19.5" customHeight="1" x14ac:dyDescent="0.25">
      <c r="B17" s="297" t="s">
        <v>153</v>
      </c>
      <c r="C17" s="298"/>
      <c r="D17" s="137">
        <v>900</v>
      </c>
      <c r="E17" s="135" t="s">
        <v>119</v>
      </c>
    </row>
    <row r="18" spans="2:6" s="130" customFormat="1" ht="19.5" customHeight="1" x14ac:dyDescent="0.25">
      <c r="B18" s="287" t="s">
        <v>152</v>
      </c>
      <c r="C18" s="288"/>
      <c r="D18" s="138">
        <f>(D17/D16)/1000</f>
        <v>0.15</v>
      </c>
      <c r="E18" s="139" t="s">
        <v>123</v>
      </c>
    </row>
    <row r="19" spans="2:6" x14ac:dyDescent="0.25">
      <c r="D19" s="4"/>
    </row>
    <row r="20" spans="2:6" ht="15.75" x14ac:dyDescent="0.25">
      <c r="B20" s="273" t="s">
        <v>115</v>
      </c>
      <c r="C20" s="274"/>
      <c r="D20" s="274"/>
      <c r="E20" s="275"/>
    </row>
    <row r="21" spans="2:6" s="132" customFormat="1" ht="19.5" customHeight="1" x14ac:dyDescent="0.25">
      <c r="B21" s="299" t="s">
        <v>19</v>
      </c>
      <c r="C21" s="300"/>
      <c r="D21" s="93">
        <f>D22*D25</f>
        <v>57600</v>
      </c>
      <c r="E21" s="133" t="s">
        <v>13</v>
      </c>
    </row>
    <row r="22" spans="2:6" s="132" customFormat="1" ht="19.5" customHeight="1" x14ac:dyDescent="0.25">
      <c r="B22" s="297" t="s">
        <v>150</v>
      </c>
      <c r="C22" s="298"/>
      <c r="D22" s="96">
        <v>80</v>
      </c>
      <c r="E22" s="135" t="s">
        <v>10</v>
      </c>
    </row>
    <row r="23" spans="2:6" s="132" customFormat="1" ht="19.5" customHeight="1" x14ac:dyDescent="0.25">
      <c r="B23" s="301" t="s">
        <v>116</v>
      </c>
      <c r="C23" s="302"/>
      <c r="D23" s="137">
        <v>800</v>
      </c>
      <c r="E23" s="135" t="s">
        <v>118</v>
      </c>
    </row>
    <row r="24" spans="2:6" s="132" customFormat="1" ht="19.5" customHeight="1" x14ac:dyDescent="0.25">
      <c r="B24" s="297" t="s">
        <v>149</v>
      </c>
      <c r="C24" s="298"/>
      <c r="D24" s="137">
        <v>900</v>
      </c>
      <c r="E24" s="135" t="s">
        <v>119</v>
      </c>
    </row>
    <row r="25" spans="2:6" s="132" customFormat="1" ht="19.5" customHeight="1" x14ac:dyDescent="0.25">
      <c r="B25" s="287" t="s">
        <v>148</v>
      </c>
      <c r="C25" s="288"/>
      <c r="D25" s="125">
        <f>D23*D24/1000</f>
        <v>720</v>
      </c>
      <c r="E25" s="139" t="s">
        <v>120</v>
      </c>
    </row>
    <row r="27" spans="2:6" ht="15.75" x14ac:dyDescent="0.25">
      <c r="B27" s="273" t="s">
        <v>117</v>
      </c>
      <c r="C27" s="274"/>
      <c r="D27" s="274"/>
      <c r="E27" s="275"/>
    </row>
    <row r="28" spans="2:6" s="130" customFormat="1" ht="19.5" customHeight="1" x14ac:dyDescent="0.25">
      <c r="B28" s="289" t="s">
        <v>116</v>
      </c>
      <c r="C28" s="290"/>
      <c r="D28" s="137">
        <v>300</v>
      </c>
      <c r="E28" s="135" t="s">
        <v>118</v>
      </c>
      <c r="F28" s="140"/>
    </row>
    <row r="29" spans="2:6" s="130" customFormat="1" ht="19.5" customHeight="1" x14ac:dyDescent="0.25">
      <c r="B29" s="291" t="s">
        <v>149</v>
      </c>
      <c r="C29" s="292"/>
      <c r="D29" s="137">
        <v>900</v>
      </c>
      <c r="E29" s="135" t="s">
        <v>119</v>
      </c>
    </row>
    <row r="30" spans="2:6" s="130" customFormat="1" ht="19.5" customHeight="1" x14ac:dyDescent="0.25">
      <c r="B30" s="293" t="s">
        <v>148</v>
      </c>
      <c r="C30" s="294"/>
      <c r="D30" s="125">
        <f>D28*D29/1000</f>
        <v>270</v>
      </c>
      <c r="E30" s="139" t="s">
        <v>120</v>
      </c>
    </row>
    <row r="32" spans="2:6" x14ac:dyDescent="0.2">
      <c r="C32" s="1"/>
      <c r="D32" s="1"/>
      <c r="E32" s="1"/>
    </row>
    <row r="35" spans="1:6" x14ac:dyDescent="0.2">
      <c r="A35" s="1"/>
      <c r="B35" s="1"/>
      <c r="C35" s="1"/>
      <c r="D35" s="1"/>
      <c r="E35" s="1"/>
      <c r="F35" s="1"/>
    </row>
  </sheetData>
  <mergeCells count="22">
    <mergeCell ref="B8:E8"/>
    <mergeCell ref="B13:E13"/>
    <mergeCell ref="A2:F2"/>
    <mergeCell ref="B9:C9"/>
    <mergeCell ref="B11:C11"/>
    <mergeCell ref="B5:E5"/>
    <mergeCell ref="B25:C25"/>
    <mergeCell ref="B28:C28"/>
    <mergeCell ref="B29:C29"/>
    <mergeCell ref="B30:C30"/>
    <mergeCell ref="B10:C10"/>
    <mergeCell ref="B22:C22"/>
    <mergeCell ref="B15:C15"/>
    <mergeCell ref="B20:E20"/>
    <mergeCell ref="B27:E27"/>
    <mergeCell ref="B14:C14"/>
    <mergeCell ref="B16:C16"/>
    <mergeCell ref="B17:C17"/>
    <mergeCell ref="B18:C18"/>
    <mergeCell ref="B21:C21"/>
    <mergeCell ref="B23:C23"/>
    <mergeCell ref="B24:C24"/>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9FB21F9BBF3154D9BD7A8189D695504" ma:contentTypeVersion="10" ma:contentTypeDescription="Ein neues Dokument erstellen." ma:contentTypeScope="" ma:versionID="45f9a31d07b23917ca9c7719e8ff7eae">
  <xsd:schema xmlns:xsd="http://www.w3.org/2001/XMLSchema" xmlns:xs="http://www.w3.org/2001/XMLSchema" xmlns:p="http://schemas.microsoft.com/office/2006/metadata/properties" xmlns:ns2="f8104202-31c3-4011-8b16-41d4f900bed5" xmlns:ns3="f5f11d93-6f00-4b32-b912-0a093f3a5e46" targetNamespace="http://schemas.microsoft.com/office/2006/metadata/properties" ma:root="true" ma:fieldsID="ded7b457ca4434be50fe9e4b9b7a83c4" ns2:_="" ns3:_="">
    <xsd:import namespace="f8104202-31c3-4011-8b16-41d4f900bed5"/>
    <xsd:import namespace="f5f11d93-6f00-4b32-b912-0a093f3a5e46"/>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04202-31c3-4011-8b16-41d4f900be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9e6d325a-fd66-4e78-9863-c80b688714b2"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11d93-6f00-4b32-b912-0a093f3a5e4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1078ea7-49aa-4c7a-abd4-c5558c57080c}" ma:internalName="TaxCatchAll" ma:showField="CatchAllData" ma:web="f5f11d93-6f00-4b32-b912-0a093f3a5e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5f11d93-6f00-4b32-b912-0a093f3a5e46" xsi:nil="true"/>
    <lcf76f155ced4ddcb4097134ff3c332f xmlns="f8104202-31c3-4011-8b16-41d4f900be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66DF85-51DC-4890-B725-552665C2350D}">
  <ds:schemaRefs>
    <ds:schemaRef ds:uri="http://schemas.microsoft.com/sharepoint/v3/contenttype/forms"/>
  </ds:schemaRefs>
</ds:datastoreItem>
</file>

<file path=customXml/itemProps2.xml><?xml version="1.0" encoding="utf-8"?>
<ds:datastoreItem xmlns:ds="http://schemas.openxmlformats.org/officeDocument/2006/customXml" ds:itemID="{BF2CD47D-1384-4F53-8BE8-9EF95BAFD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104202-31c3-4011-8b16-41d4f900bed5"/>
    <ds:schemaRef ds:uri="f5f11d93-6f00-4b32-b912-0a093f3a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A569B1-465F-4D2A-BE73-705C6AB5C859}">
  <ds:schemaRefs>
    <ds:schemaRef ds:uri="http://schemas.openxmlformats.org/package/2006/metadata/core-properties"/>
    <ds:schemaRef ds:uri="f5f11d93-6f00-4b32-b912-0a093f3a5e46"/>
    <ds:schemaRef ds:uri="http://schemas.microsoft.com/office/infopath/2007/PartnerControls"/>
    <ds:schemaRef ds:uri="f8104202-31c3-4011-8b16-41d4f900bed5"/>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ÜBERSICHT</vt:lpstr>
      <vt:lpstr>Ausbauziel_Strom</vt:lpstr>
      <vt:lpstr>Ausbauziel_Wärme</vt:lpstr>
      <vt:lpstr>THG_Emissionen</vt:lpstr>
      <vt:lpstr>Basis-Annahmen</vt:lpstr>
      <vt:lpstr>Nachfrage &amp; Erzeugung</vt:lpstr>
      <vt:lpstr>Potenzial</vt:lpstr>
      <vt:lpstr>Ausbauziel_Wärme!Druckbereich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sophie.puchta</dc:creator>
  <cp:lastModifiedBy>Schramek, Dr. Philipp</cp:lastModifiedBy>
  <cp:lastPrinted>2023-01-23T15:47:50Z</cp:lastPrinted>
  <dcterms:created xsi:type="dcterms:W3CDTF">2022-05-10T08:02:21Z</dcterms:created>
  <dcterms:modified xsi:type="dcterms:W3CDTF">2023-02-13T13:23:17Z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0x01010079FB21F9BBF3154D9BD7A8189D695504</vt:lpwstr>
  </property>
  <property fmtid="{D5CDD505-2E9C-101B-9397-08002B2CF9AE}" pid="3" name="MediaServiceImageTags">
    <vt:lpwstr/>
  </property>
</Properties>
</file>